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13_ncr:1_{5490FF26-EE1C-4A1D-8359-F010CC26B283}" xr6:coauthVersionLast="47" xr6:coauthVersionMax="47" xr10:uidLastSave="{00000000-0000-0000-0000-000000000000}"/>
  <bookViews>
    <workbookView xWindow="28680" yWindow="-120" windowWidth="29040" windowHeight="15720" xr2:uid="{94576F2C-AA61-40E4-A025-3ACC8442FE0F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2" l="1"/>
  <c r="K70" i="2"/>
  <c r="Q70" i="2"/>
  <c r="R70" i="2"/>
  <c r="S70" i="2"/>
  <c r="I71" i="2"/>
  <c r="K71" i="2"/>
  <c r="Q71" i="2"/>
  <c r="R71" i="2"/>
  <c r="S71" i="2"/>
  <c r="I72" i="2"/>
  <c r="K72" i="2"/>
  <c r="R72" i="2" s="1"/>
  <c r="I73" i="2"/>
  <c r="K73" i="2"/>
  <c r="S73" i="2" s="1"/>
  <c r="Q73" i="2"/>
  <c r="R73" i="2"/>
  <c r="I74" i="2"/>
  <c r="K74" i="2"/>
  <c r="Q74" i="2"/>
  <c r="R74" i="2"/>
  <c r="S74" i="2"/>
  <c r="I75" i="2"/>
  <c r="K75" i="2"/>
  <c r="Q75" i="2"/>
  <c r="R75" i="2"/>
  <c r="S75" i="2"/>
  <c r="I76" i="2"/>
  <c r="K76" i="2"/>
  <c r="Q76" i="2"/>
  <c r="R76" i="2"/>
  <c r="S76" i="2"/>
  <c r="I77" i="2"/>
  <c r="K77" i="2"/>
  <c r="Q77" i="2" s="1"/>
  <c r="I78" i="2"/>
  <c r="K78" i="2"/>
  <c r="Q78" i="2"/>
  <c r="R78" i="2"/>
  <c r="S78" i="2"/>
  <c r="I79" i="2"/>
  <c r="K79" i="2"/>
  <c r="S79" i="2" s="1"/>
  <c r="Q79" i="2"/>
  <c r="R79" i="2"/>
  <c r="I80" i="2"/>
  <c r="K80" i="2"/>
  <c r="S80" i="2" s="1"/>
  <c r="Q80" i="2"/>
  <c r="R80" i="2"/>
  <c r="I81" i="2"/>
  <c r="K81" i="2"/>
  <c r="S81" i="2" s="1"/>
  <c r="Q81" i="2"/>
  <c r="R81" i="2"/>
  <c r="I82" i="2"/>
  <c r="K82" i="2"/>
  <c r="Q82" i="2"/>
  <c r="R82" i="2"/>
  <c r="S82" i="2"/>
  <c r="I83" i="2"/>
  <c r="K83" i="2"/>
  <c r="Q83" i="2" s="1"/>
  <c r="R83" i="2"/>
  <c r="S83" i="2"/>
  <c r="I84" i="2"/>
  <c r="K84" i="2"/>
  <c r="R84" i="2" s="1"/>
  <c r="Q84" i="2"/>
  <c r="I85" i="2"/>
  <c r="K85" i="2"/>
  <c r="Q85" i="2"/>
  <c r="R85" i="2"/>
  <c r="S85" i="2"/>
  <c r="I86" i="2"/>
  <c r="K86" i="2"/>
  <c r="Q86" i="2"/>
  <c r="R86" i="2"/>
  <c r="S86" i="2"/>
  <c r="I87" i="2"/>
  <c r="K87" i="2"/>
  <c r="Q87" i="2"/>
  <c r="R87" i="2"/>
  <c r="S87" i="2"/>
  <c r="I88" i="2"/>
  <c r="K88" i="2"/>
  <c r="Q88" i="2" s="1"/>
  <c r="I89" i="2"/>
  <c r="K89" i="2"/>
  <c r="Q89" i="2" s="1"/>
  <c r="I90" i="2"/>
  <c r="K90" i="2"/>
  <c r="Q90" i="2"/>
  <c r="R90" i="2"/>
  <c r="S90" i="2"/>
  <c r="I91" i="2"/>
  <c r="K91" i="2"/>
  <c r="S91" i="2" s="1"/>
  <c r="I92" i="2"/>
  <c r="K92" i="2"/>
  <c r="R92" i="2" s="1"/>
  <c r="Q92" i="2"/>
  <c r="S92" i="2"/>
  <c r="I93" i="2"/>
  <c r="K93" i="2"/>
  <c r="Q93" i="2"/>
  <c r="R93" i="2"/>
  <c r="S93" i="2"/>
  <c r="I94" i="2"/>
  <c r="K94" i="2"/>
  <c r="Q94" i="2"/>
  <c r="R94" i="2"/>
  <c r="S94" i="2"/>
  <c r="I95" i="2"/>
  <c r="K95" i="2"/>
  <c r="Q95" i="2"/>
  <c r="R95" i="2"/>
  <c r="S95" i="2"/>
  <c r="I96" i="2"/>
  <c r="K96" i="2"/>
  <c r="R96" i="2" s="1"/>
  <c r="I97" i="2"/>
  <c r="K97" i="2"/>
  <c r="S97" i="2" s="1"/>
  <c r="Q97" i="2"/>
  <c r="R97" i="2"/>
  <c r="I98" i="2"/>
  <c r="K98" i="2"/>
  <c r="Q98" i="2"/>
  <c r="R98" i="2"/>
  <c r="S98" i="2"/>
  <c r="I99" i="2"/>
  <c r="K99" i="2"/>
  <c r="Q99" i="2" s="1"/>
  <c r="R99" i="2"/>
  <c r="S99" i="2"/>
  <c r="I100" i="2"/>
  <c r="K100" i="2"/>
  <c r="Q100" i="2"/>
  <c r="R100" i="2"/>
  <c r="S100" i="2"/>
  <c r="I101" i="2"/>
  <c r="K101" i="2"/>
  <c r="Q101" i="2" s="1"/>
  <c r="I102" i="2"/>
  <c r="K102" i="2"/>
  <c r="Q102" i="2" s="1"/>
  <c r="R102" i="2"/>
  <c r="S102" i="2"/>
  <c r="I103" i="2"/>
  <c r="K103" i="2"/>
  <c r="S103" i="2" s="1"/>
  <c r="Q103" i="2"/>
  <c r="R103" i="2"/>
  <c r="I104" i="2"/>
  <c r="K104" i="2"/>
  <c r="S104" i="2" s="1"/>
  <c r="Q104" i="2"/>
  <c r="R104" i="2"/>
  <c r="I105" i="2"/>
  <c r="K105" i="2"/>
  <c r="S105" i="2" s="1"/>
  <c r="Q105" i="2"/>
  <c r="R105" i="2"/>
  <c r="I106" i="2"/>
  <c r="K106" i="2"/>
  <c r="Q106" i="2"/>
  <c r="R106" i="2"/>
  <c r="S106" i="2"/>
  <c r="I107" i="2"/>
  <c r="K107" i="2"/>
  <c r="Q107" i="2" s="1"/>
  <c r="R107" i="2"/>
  <c r="S107" i="2"/>
  <c r="I108" i="2"/>
  <c r="K108" i="2"/>
  <c r="R108" i="2" s="1"/>
  <c r="Q108" i="2"/>
  <c r="I109" i="2"/>
  <c r="K109" i="2"/>
  <c r="Q109" i="2"/>
  <c r="R109" i="2"/>
  <c r="S109" i="2"/>
  <c r="I110" i="2"/>
  <c r="K110" i="2"/>
  <c r="Q110" i="2"/>
  <c r="R110" i="2"/>
  <c r="S110" i="2"/>
  <c r="I111" i="2"/>
  <c r="K111" i="2"/>
  <c r="Q111" i="2"/>
  <c r="R111" i="2"/>
  <c r="S111" i="2"/>
  <c r="I112" i="2"/>
  <c r="K112" i="2"/>
  <c r="Q112" i="2" s="1"/>
  <c r="I113" i="2"/>
  <c r="K113" i="2"/>
  <c r="Q113" i="2" s="1"/>
  <c r="I114" i="2"/>
  <c r="K114" i="2"/>
  <c r="Q114" i="2"/>
  <c r="R114" i="2"/>
  <c r="S114" i="2"/>
  <c r="I115" i="2"/>
  <c r="K115" i="2"/>
  <c r="S115" i="2" s="1"/>
  <c r="I116" i="2"/>
  <c r="K116" i="2"/>
  <c r="R116" i="2" s="1"/>
  <c r="Q116" i="2"/>
  <c r="S116" i="2"/>
  <c r="I117" i="2"/>
  <c r="K117" i="2"/>
  <c r="Q117" i="2"/>
  <c r="R117" i="2"/>
  <c r="S117" i="2"/>
  <c r="I118" i="2"/>
  <c r="K118" i="2"/>
  <c r="Q118" i="2"/>
  <c r="R118" i="2"/>
  <c r="S118" i="2"/>
  <c r="I119" i="2"/>
  <c r="K119" i="2"/>
  <c r="Q119" i="2"/>
  <c r="R119" i="2"/>
  <c r="S119" i="2"/>
  <c r="I120" i="2"/>
  <c r="K120" i="2"/>
  <c r="R120" i="2" s="1"/>
  <c r="I121" i="2"/>
  <c r="K121" i="2"/>
  <c r="S121" i="2" s="1"/>
  <c r="Q121" i="2"/>
  <c r="R121" i="2"/>
  <c r="I122" i="2"/>
  <c r="K122" i="2"/>
  <c r="Q122" i="2"/>
  <c r="R122" i="2"/>
  <c r="S122" i="2"/>
  <c r="I123" i="2"/>
  <c r="K123" i="2"/>
  <c r="Q123" i="2" s="1"/>
  <c r="R123" i="2"/>
  <c r="S123" i="2"/>
  <c r="I124" i="2"/>
  <c r="K124" i="2"/>
  <c r="Q124" i="2"/>
  <c r="R124" i="2"/>
  <c r="S124" i="2"/>
  <c r="I125" i="2"/>
  <c r="K125" i="2"/>
  <c r="Q125" i="2" s="1"/>
  <c r="I126" i="2"/>
  <c r="K126" i="2"/>
  <c r="Q126" i="2" s="1"/>
  <c r="R126" i="2"/>
  <c r="S126" i="2"/>
  <c r="I127" i="2"/>
  <c r="K127" i="2"/>
  <c r="S127" i="2" s="1"/>
  <c r="Q127" i="2"/>
  <c r="R127" i="2"/>
  <c r="I128" i="2"/>
  <c r="K128" i="2"/>
  <c r="S128" i="2" s="1"/>
  <c r="Q128" i="2"/>
  <c r="R128" i="2"/>
  <c r="I129" i="2"/>
  <c r="K129" i="2"/>
  <c r="Q129" i="2"/>
  <c r="R129" i="2"/>
  <c r="S129" i="2"/>
  <c r="I130" i="2"/>
  <c r="K130" i="2"/>
  <c r="Q130" i="2"/>
  <c r="R130" i="2"/>
  <c r="S130" i="2"/>
  <c r="I131" i="2"/>
  <c r="K131" i="2"/>
  <c r="Q131" i="2"/>
  <c r="R131" i="2"/>
  <c r="S131" i="2"/>
  <c r="I132" i="2"/>
  <c r="K132" i="2"/>
  <c r="R132" i="2" s="1"/>
  <c r="Q132" i="2"/>
  <c r="S112" i="2" l="1"/>
  <c r="S88" i="2"/>
  <c r="R115" i="2"/>
  <c r="R112" i="2"/>
  <c r="R91" i="2"/>
  <c r="R88" i="2"/>
  <c r="Q120" i="2"/>
  <c r="Q115" i="2"/>
  <c r="Q96" i="2"/>
  <c r="Q91" i="2"/>
  <c r="Q72" i="2"/>
  <c r="I67" i="2"/>
  <c r="S125" i="2"/>
  <c r="S113" i="2"/>
  <c r="S101" i="2"/>
  <c r="S89" i="2"/>
  <c r="S77" i="2"/>
  <c r="S132" i="2"/>
  <c r="R125" i="2"/>
  <c r="S120" i="2"/>
  <c r="R113" i="2"/>
  <c r="S108" i="2"/>
  <c r="R101" i="2"/>
  <c r="S96" i="2"/>
  <c r="R89" i="2"/>
  <c r="S84" i="2"/>
  <c r="R77" i="2"/>
  <c r="S72" i="2"/>
  <c r="I66" i="2" l="1"/>
  <c r="H65" i="2"/>
  <c r="D65" i="2"/>
  <c r="P65" i="2"/>
  <c r="O65" i="2"/>
  <c r="M65" i="2"/>
  <c r="J65" i="2"/>
  <c r="G65" i="2"/>
  <c r="L65" i="2"/>
  <c r="S67" i="2"/>
  <c r="P67" i="2"/>
  <c r="K65" i="2"/>
  <c r="M67" i="2"/>
</calcChain>
</file>

<file path=xl/sharedStrings.xml><?xml version="1.0" encoding="utf-8"?>
<sst xmlns="http://schemas.openxmlformats.org/spreadsheetml/2006/main" count="620" uniqueCount="245">
  <si>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</si>
  <si>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</si>
  <si>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</si>
  <si>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</si>
  <si>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</si>
  <si>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</si>
  <si>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</si>
  <si>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</si>
  <si>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</si>
  <si>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</si>
  <si>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</si>
  <si>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</si>
  <si>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</si>
  <si>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</si>
  <si>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</si>
  <si>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</si>
  <si>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</si>
  <si>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</si>
  <si>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</si>
  <si>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</si>
  <si>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</si>
  <si>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</si>
  <si>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</si>
  <si>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</si>
  <si>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</si>
  <si>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</si>
  <si>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</si>
  <si>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</si>
  <si>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</si>
  <si>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</si>
  <si>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</si>
  <si>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</si>
  <si>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</si>
  <si>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</si>
  <si>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</si>
  <si>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</si>
  <si>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</si>
  <si>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</si>
  <si>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</si>
  <si>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</si>
  <si>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</si>
  <si>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</si>
  <si>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</si>
  <si>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</si>
  <si>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003-003-035-4400</t>
  </si>
  <si>
    <t>WD</t>
  </si>
  <si>
    <t>03-ARM'S LENGTH</t>
  </si>
  <si>
    <t>4001</t>
  </si>
  <si>
    <t>L236/P593</t>
  </si>
  <si>
    <t>4400 VILLAGE OF NEWBERRY DIST. 1-6</t>
  </si>
  <si>
    <t>NOT INSPECTED</t>
  </si>
  <si>
    <t>401</t>
  </si>
  <si>
    <t>Dist. #2 WEST</t>
  </si>
  <si>
    <t>003-180-000-0220</t>
  </si>
  <si>
    <t>515 W VICTORY WAY</t>
  </si>
  <si>
    <t>4400</t>
  </si>
  <si>
    <t>L240/P240</t>
  </si>
  <si>
    <t>003-180-000-0320</t>
  </si>
  <si>
    <t>509 W VICTORY WAY</t>
  </si>
  <si>
    <t>L234/P715</t>
  </si>
  <si>
    <t>041-003-250-3550</t>
  </si>
  <si>
    <t>109 E VICTORY WAY</t>
  </si>
  <si>
    <t>L241/P597</t>
  </si>
  <si>
    <t>Dist.#1 EAST</t>
  </si>
  <si>
    <t>041-003-250-5200</t>
  </si>
  <si>
    <t>522 E MCMILLAN AVE</t>
  </si>
  <si>
    <t>L241/P719</t>
  </si>
  <si>
    <t>041-003-250-5300</t>
  </si>
  <si>
    <t>518 E MCMILLAN AVE</t>
  </si>
  <si>
    <t>L239/P133</t>
  </si>
  <si>
    <t>041-003-250-5900</t>
  </si>
  <si>
    <t>502 E MCMILLAN AVE</t>
  </si>
  <si>
    <t>L241/P734</t>
  </si>
  <si>
    <t>041-003-250-6400</t>
  </si>
  <si>
    <t>418 E MCMILLAN AVE</t>
  </si>
  <si>
    <t>L235/P682</t>
  </si>
  <si>
    <t>041-003-251-1100</t>
  </si>
  <si>
    <t>507 E AVE B</t>
  </si>
  <si>
    <t>L240/P54</t>
  </si>
  <si>
    <t>041-003-251-1500</t>
  </si>
  <si>
    <t>514 E AVE B</t>
  </si>
  <si>
    <t>L234/P748</t>
  </si>
  <si>
    <t>201</t>
  </si>
  <si>
    <t>041-003-251-3100</t>
  </si>
  <si>
    <t>809 VULCAN ST</t>
  </si>
  <si>
    <t>PTA</t>
  </si>
  <si>
    <t>041-003-251-3500</t>
  </si>
  <si>
    <t>503 E AVE D</t>
  </si>
  <si>
    <t>L238/P589</t>
  </si>
  <si>
    <t>041-003-260-0900</t>
  </si>
  <si>
    <t>425 RAILROAD ST</t>
  </si>
  <si>
    <t>L236/P819</t>
  </si>
  <si>
    <t>041-003-260-2600</t>
  </si>
  <si>
    <t>505 W JOHN ST</t>
  </si>
  <si>
    <t>QC</t>
  </si>
  <si>
    <t>L233/P828</t>
  </si>
  <si>
    <t>041-100-050-1100</t>
  </si>
  <si>
    <t>114 W JOHN ST</t>
  </si>
  <si>
    <t>L240/P318</t>
  </si>
  <si>
    <t>041-100-070-1800</t>
  </si>
  <si>
    <t>217 E JOHN ST</t>
  </si>
  <si>
    <t>L237/P500</t>
  </si>
  <si>
    <t>041-100-120-1600</t>
  </si>
  <si>
    <t>206 W HARRIE ST</t>
  </si>
  <si>
    <t>L237/P850</t>
  </si>
  <si>
    <t>041-100-150-1300</t>
  </si>
  <si>
    <t>207 E HARRIE ST</t>
  </si>
  <si>
    <t>L235/P792</t>
  </si>
  <si>
    <t>041-100-160-1000</t>
  </si>
  <si>
    <t>304 E TRUMAN BLVD</t>
  </si>
  <si>
    <t>/234/P301</t>
  </si>
  <si>
    <t>041-100-230-1400</t>
  </si>
  <si>
    <t>305 E TRUMAN BLVD</t>
  </si>
  <si>
    <t>041-100-240-0400</t>
  </si>
  <si>
    <t>314 E HELEN ST</t>
  </si>
  <si>
    <t>L236/P619</t>
  </si>
  <si>
    <t>041-100-240-0500</t>
  </si>
  <si>
    <t>312 E HELEN ST</t>
  </si>
  <si>
    <t>L236/P854</t>
  </si>
  <si>
    <t>041-100-240-0600</t>
  </si>
  <si>
    <t>L236/P857</t>
  </si>
  <si>
    <t>402</t>
  </si>
  <si>
    <t>041-100-300-0700</t>
  </si>
  <si>
    <t>206 E HARRIE ST</t>
  </si>
  <si>
    <t>L235/P32</t>
  </si>
  <si>
    <t>041-100-300-0800</t>
  </si>
  <si>
    <t>204 E HARRIE ST</t>
  </si>
  <si>
    <t>CD</t>
  </si>
  <si>
    <t>L236/P324</t>
  </si>
  <si>
    <t>041-100-320-1300</t>
  </si>
  <si>
    <t>115 W</t>
  </si>
  <si>
    <t>L241/P348</t>
  </si>
  <si>
    <t>041-100-330-0200</t>
  </si>
  <si>
    <t>203 W HARRIE ST</t>
  </si>
  <si>
    <t>LC</t>
  </si>
  <si>
    <t>L235/161</t>
  </si>
  <si>
    <t>041-100-330-0800</t>
  </si>
  <si>
    <t>215 W HARRIE ST</t>
  </si>
  <si>
    <t>L234/P882</t>
  </si>
  <si>
    <t>041-134-370-0100</t>
  </si>
  <si>
    <t>321 W MCMILLAN AVE</t>
  </si>
  <si>
    <t>L202/P368</t>
  </si>
  <si>
    <t>041-134-410-1200</t>
  </si>
  <si>
    <t>215 E AVE A</t>
  </si>
  <si>
    <t>L234/P513</t>
  </si>
  <si>
    <t>041-134-410-1300</t>
  </si>
  <si>
    <t>211 E AVE A</t>
  </si>
  <si>
    <t>041-134-460-1000</t>
  </si>
  <si>
    <t>303 W AVE A</t>
  </si>
  <si>
    <t>L238/P475</t>
  </si>
  <si>
    <t>041-134-460-1800</t>
  </si>
  <si>
    <t>316 W AVE B</t>
  </si>
  <si>
    <t>L238/P523</t>
  </si>
  <si>
    <t>041-134-470-1100</t>
  </si>
  <si>
    <t>402 W AVE B</t>
  </si>
  <si>
    <t>L237/P60</t>
  </si>
  <si>
    <t>041-134-470-1300</t>
  </si>
  <si>
    <t>408 W AVENUE B</t>
  </si>
  <si>
    <t>L241/P124</t>
  </si>
  <si>
    <t>041-148-490-0400</t>
  </si>
  <si>
    <t>309 W HELEN ST</t>
  </si>
  <si>
    <t>L235/P746</t>
  </si>
  <si>
    <t>L241/P140</t>
  </si>
  <si>
    <t>041-148-490-2200</t>
  </si>
  <si>
    <t>302 W JOHN ST</t>
  </si>
  <si>
    <t>L237/P922</t>
  </si>
  <si>
    <t>041-148-500-1300</t>
  </si>
  <si>
    <t>316 W TRUMAN BLVD</t>
  </si>
  <si>
    <t>L236/P942</t>
  </si>
  <si>
    <t>041-203-040-0100</t>
  </si>
  <si>
    <t>414 E AVE B</t>
  </si>
  <si>
    <t>L233/P219</t>
  </si>
  <si>
    <t>041-206-070-5000</t>
  </si>
  <si>
    <t>608 W HARRIE ST</t>
  </si>
  <si>
    <t>L234/P428</t>
  </si>
  <si>
    <t>041-206-110-1700</t>
  </si>
  <si>
    <t>512 W AVE C</t>
  </si>
  <si>
    <t>L235/P1</t>
  </si>
  <si>
    <t>041-206-120-0400</t>
  </si>
  <si>
    <t>411 W AVE B</t>
  </si>
  <si>
    <t>L235/P525</t>
  </si>
  <si>
    <t>041-206-120-0900</t>
  </si>
  <si>
    <t>412 W AVE C</t>
  </si>
  <si>
    <t>L238/745</t>
  </si>
  <si>
    <t>041-206-130-0500</t>
  </si>
  <si>
    <t>309 W AVE B</t>
  </si>
  <si>
    <t>L236/P258</t>
  </si>
  <si>
    <t>041-206-140-0100</t>
  </si>
  <si>
    <t>201 W AVE B</t>
  </si>
  <si>
    <t>L241/P648</t>
  </si>
  <si>
    <t>041-206-140-1200</t>
  </si>
  <si>
    <t>202 W AVE C</t>
  </si>
  <si>
    <t>4010</t>
  </si>
  <si>
    <t>L234/P607</t>
  </si>
  <si>
    <t>L241/P939</t>
  </si>
  <si>
    <t>041-206-160-0800</t>
  </si>
  <si>
    <t>107 W AVE C</t>
  </si>
  <si>
    <t>L233/P437</t>
  </si>
  <si>
    <t>041-206-170-1000</t>
  </si>
  <si>
    <t>204 W AVE D</t>
  </si>
  <si>
    <t>L235/P299</t>
  </si>
  <si>
    <t>041-206-180-0400</t>
  </si>
  <si>
    <t>309 W AVE C</t>
  </si>
  <si>
    <t>L236/P101</t>
  </si>
  <si>
    <t>L239/P980</t>
  </si>
  <si>
    <t>041-206-180-0500</t>
  </si>
  <si>
    <t>311 W AVE C</t>
  </si>
  <si>
    <t>L233/P689</t>
  </si>
  <si>
    <t>041-206-180-1300</t>
  </si>
  <si>
    <t>304 W AVE D</t>
  </si>
  <si>
    <t>L235/P667</t>
  </si>
  <si>
    <t>041-206-220-0700</t>
  </si>
  <si>
    <t>411 W</t>
  </si>
  <si>
    <t>L234/P658</t>
  </si>
  <si>
    <t>041-206-230-1400</t>
  </si>
  <si>
    <t>302 W VICTORY WAY</t>
  </si>
  <si>
    <t>L237/P775</t>
  </si>
  <si>
    <t>041-206-240-0400</t>
  </si>
  <si>
    <t>205 W AVE D</t>
  </si>
  <si>
    <t>L237/P276</t>
  </si>
  <si>
    <t>041-206-240-0500</t>
  </si>
  <si>
    <t>209 W AVE D</t>
  </si>
  <si>
    <t>L242/P111</t>
  </si>
  <si>
    <t>041-206-250-0700</t>
  </si>
  <si>
    <t>105 W AVE D</t>
  </si>
  <si>
    <t>L238/P355</t>
  </si>
  <si>
    <t>041-226-270-0100</t>
  </si>
  <si>
    <t>202 E AVE B</t>
  </si>
  <si>
    <t>041-226-270-0400</t>
  </si>
  <si>
    <t>208 E AVE B</t>
  </si>
  <si>
    <t>L237/P728</t>
  </si>
  <si>
    <t>041-230-300-1100</t>
  </si>
  <si>
    <t>404 E JOHN ST</t>
  </si>
  <si>
    <t>L235/P451</t>
  </si>
  <si>
    <t>041-230-300-1200</t>
  </si>
  <si>
    <t>402 E JOHN ST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</si>
  <si>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</si>
  <si>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</si>
  <si>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</si>
  <si>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</si>
  <si>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</si>
  <si>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</si>
  <si>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</si>
  <si>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2026 Village of Newberry Back Lot Land Analysis.  The last back lot sale resulted in a front foot value of $401 per ff.  This is obviously not a credible value based on the District 1, 2 and 3 front foot values.</t>
  </si>
  <si>
    <t xml:space="preserve">The 2026 rates of $10, $20 &amp; $25 are based on historical sales as there have been no other back lot sales in several years.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</si>
</sst>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F42F-1702-4D58-9F93-52395D16F416}">
  <dimension ref="A1:BL132"/>
  <sheetViews>
    <sheetView tabSelected="1" topLeftCell="A49" workbookViewId="0">
      <selection activeCell="A70" sqref="A70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64" ht="15.75" thickBot="1" x14ac:dyDescent="0.3"/>
    <row r="65" spans="1:44" ht="15.75" thickTop="1" x14ac:dyDescent="0.25">
      <c r="A65" s="7"/>
      <c r="B65" s="7"/>
      <c r="C65" s="25" t="s">
        <v>236</v>
      </c>
      <c r="D65" s="15">
        <f ca="1">+SUM(D64:D70)</f>
        <v>0</v>
      </c>
      <c r="E65" s="7"/>
      <c r="F65" s="7"/>
      <c r="G65" s="15">
        <f ca="1">+SUM(G64:G70)</f>
        <v>0</v>
      </c>
      <c r="H65" s="15">
        <f ca="1">+SUM(H64:H70)</f>
        <v>0</v>
      </c>
      <c r="I65" s="20"/>
      <c r="J65" s="15">
        <f ca="1">+SUM(J64:J70)</f>
        <v>0</v>
      </c>
      <c r="K65" s="15">
        <f ca="1">+SUM(K64:K70)</f>
        <v>0</v>
      </c>
      <c r="L65" s="15">
        <f ca="1">+SUM(L64:L70)</f>
        <v>0</v>
      </c>
      <c r="M65" s="30">
        <f ca="1">+SUM(M64:M70)</f>
        <v>0</v>
      </c>
      <c r="N65" s="34"/>
      <c r="O65" s="39">
        <f ca="1">+SUM(O64:O70)</f>
        <v>0</v>
      </c>
      <c r="P65" s="39">
        <f ca="1">+SUM(P64:P70)</f>
        <v>0</v>
      </c>
      <c r="Q65" s="15"/>
      <c r="R65" s="15"/>
      <c r="S65" s="44"/>
      <c r="T65" s="39"/>
      <c r="U65" s="8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</row>
    <row r="66" spans="1:44" x14ac:dyDescent="0.25">
      <c r="A66" s="9"/>
      <c r="B66" s="9"/>
      <c r="C66" s="26"/>
      <c r="D66" s="16"/>
      <c r="E66" s="9"/>
      <c r="F66" s="9"/>
      <c r="G66" s="16"/>
      <c r="H66" s="16" t="s">
        <v>237</v>
      </c>
      <c r="I66" s="21">
        <f ca="1">H65/G65*100</f>
        <v>0</v>
      </c>
      <c r="J66" s="16"/>
      <c r="K66" s="16"/>
      <c r="L66" s="16" t="s">
        <v>238</v>
      </c>
      <c r="M66" s="31"/>
      <c r="N66" s="35"/>
      <c r="O66" s="40" t="s">
        <v>238</v>
      </c>
      <c r="P66" s="40"/>
      <c r="Q66" s="16"/>
      <c r="R66" s="16" t="s">
        <v>238</v>
      </c>
      <c r="S66" s="45"/>
      <c r="T66" s="40"/>
      <c r="U66" s="10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25">
      <c r="A67" s="11"/>
      <c r="B67" s="11"/>
      <c r="C67" s="27"/>
      <c r="D67" s="17"/>
      <c r="E67" s="11"/>
      <c r="F67" s="11"/>
      <c r="G67" s="17"/>
      <c r="H67" s="17" t="s">
        <v>239</v>
      </c>
      <c r="I67" s="22" t="e">
        <f>STDEV(I70:I132)</f>
        <v>#DIV/0!</v>
      </c>
      <c r="J67" s="17"/>
      <c r="K67" s="17"/>
      <c r="L67" s="17" t="s">
        <v>240</v>
      </c>
      <c r="M67" s="47">
        <f ca="1">K65/M65</f>
        <v>0</v>
      </c>
      <c r="N67" s="36"/>
      <c r="O67" s="41" t="s">
        <v>241</v>
      </c>
      <c r="P67" s="41">
        <f ca="1">K65/O65</f>
        <v>0</v>
      </c>
      <c r="Q67" s="17"/>
      <c r="R67" s="17" t="s">
        <v>242</v>
      </c>
      <c r="S67" s="46">
        <f ca="1">K65/O65/43560</f>
        <v>0</v>
      </c>
      <c r="T67" s="41"/>
      <c r="U67" s="12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1:44" x14ac:dyDescent="0.25">
      <c r="A68" t="s">
        <v>243</v>
      </c>
    </row>
    <row r="69" spans="1:44" x14ac:dyDescent="0.25">
      <c r="A69" t="s">
        <v>244</v>
      </c>
    </row>
    <row r="70" spans="1:44" x14ac:dyDescent="0.25">
      <c r="A70" t="s">
        <v>44</v>
      </c>
      <c r="B70">
        <v>14444</v>
      </c>
      <c r="C70" s="24">
        <v>45293</v>
      </c>
      <c r="D70" s="14">
        <v>205000</v>
      </c>
      <c r="E70" t="s">
        <v>45</v>
      </c>
      <c r="F70" t="s">
        <v>46</v>
      </c>
      <c r="G70" s="14">
        <v>205000</v>
      </c>
      <c r="H70" s="14">
        <v>72700</v>
      </c>
      <c r="I70" s="19">
        <f>H70/G70*100</f>
        <v>35.463414634146339</v>
      </c>
      <c r="J70" s="14">
        <v>208162</v>
      </c>
      <c r="K70" s="14">
        <f>G70-192462</f>
        <v>12538</v>
      </c>
      <c r="L70" s="14">
        <v>15700</v>
      </c>
      <c r="M70" s="29">
        <v>100</v>
      </c>
      <c r="N70" s="33">
        <v>200</v>
      </c>
      <c r="O70" s="38">
        <v>0.45900000000000002</v>
      </c>
      <c r="P70" s="38">
        <v>0.45900000000000002</v>
      </c>
      <c r="Q70" s="14">
        <f>K70/M70</f>
        <v>125.38</v>
      </c>
      <c r="R70" s="14">
        <f>K70/O70</f>
        <v>27315.904139433551</v>
      </c>
      <c r="S70" s="43">
        <f>K70/O70/43560</f>
        <v>0.62708687188782253</v>
      </c>
      <c r="T70" s="38">
        <v>100</v>
      </c>
      <c r="U70" s="5" t="s">
        <v>47</v>
      </c>
      <c r="V70" t="s">
        <v>48</v>
      </c>
      <c r="X70" t="s">
        <v>49</v>
      </c>
      <c r="Y70">
        <v>1</v>
      </c>
      <c r="Z70">
        <v>0</v>
      </c>
      <c r="AA70" t="s">
        <v>50</v>
      </c>
      <c r="AC70" s="6" t="s">
        <v>51</v>
      </c>
      <c r="AD70" t="s">
        <v>52</v>
      </c>
    </row>
    <row r="71" spans="1:44" x14ac:dyDescent="0.25">
      <c r="A71" t="s">
        <v>53</v>
      </c>
      <c r="B71" t="s">
        <v>54</v>
      </c>
      <c r="C71" s="24">
        <v>45583</v>
      </c>
      <c r="D71" s="14">
        <v>20000</v>
      </c>
      <c r="E71" t="s">
        <v>45</v>
      </c>
      <c r="F71" t="s">
        <v>46</v>
      </c>
      <c r="G71" s="14">
        <v>20000</v>
      </c>
      <c r="H71" s="14">
        <v>27200</v>
      </c>
      <c r="I71" s="19">
        <f>H71/G71*100</f>
        <v>136</v>
      </c>
      <c r="J71" s="14">
        <v>58108</v>
      </c>
      <c r="K71" s="14">
        <f>G71-54222</f>
        <v>-34222</v>
      </c>
      <c r="L71" s="14">
        <v>3886</v>
      </c>
      <c r="M71" s="29">
        <v>24.75</v>
      </c>
      <c r="N71" s="33">
        <v>125</v>
      </c>
      <c r="O71" s="38">
        <v>7.0999999999999994E-2</v>
      </c>
      <c r="P71" s="38">
        <v>7.0999999999999994E-2</v>
      </c>
      <c r="Q71" s="14">
        <f>K71/M71</f>
        <v>-1382.7070707070707</v>
      </c>
      <c r="R71" s="14">
        <f>K71/O71</f>
        <v>-482000.00000000006</v>
      </c>
      <c r="S71" s="43">
        <f>K71/O71/43560</f>
        <v>-11.065197428833795</v>
      </c>
      <c r="T71" s="38">
        <v>24.75</v>
      </c>
      <c r="U71" s="5" t="s">
        <v>55</v>
      </c>
      <c r="V71" t="s">
        <v>56</v>
      </c>
      <c r="X71" t="s">
        <v>49</v>
      </c>
      <c r="Y71">
        <v>0</v>
      </c>
      <c r="Z71">
        <v>1</v>
      </c>
      <c r="AA71" t="s">
        <v>50</v>
      </c>
      <c r="AC71" s="6" t="s">
        <v>51</v>
      </c>
      <c r="AD71" t="s">
        <v>52</v>
      </c>
    </row>
    <row r="72" spans="1:44" x14ac:dyDescent="0.25">
      <c r="A72" t="s">
        <v>57</v>
      </c>
      <c r="B72" t="s">
        <v>58</v>
      </c>
      <c r="C72" s="24">
        <v>45153</v>
      </c>
      <c r="D72" s="14">
        <v>50000</v>
      </c>
      <c r="E72" t="s">
        <v>45</v>
      </c>
      <c r="F72" t="s">
        <v>46</v>
      </c>
      <c r="G72" s="14">
        <v>50000</v>
      </c>
      <c r="H72" s="14">
        <v>18600</v>
      </c>
      <c r="I72" s="19">
        <f>H72/G72*100</f>
        <v>37.200000000000003</v>
      </c>
      <c r="J72" s="14">
        <v>51852</v>
      </c>
      <c r="K72" s="14">
        <f>G72-43217</f>
        <v>6783</v>
      </c>
      <c r="L72" s="14">
        <v>8635</v>
      </c>
      <c r="M72" s="29">
        <v>55</v>
      </c>
      <c r="N72" s="33">
        <v>610</v>
      </c>
      <c r="O72" s="38">
        <v>0.77</v>
      </c>
      <c r="P72" s="38">
        <v>0.77</v>
      </c>
      <c r="Q72" s="14">
        <f>K72/M72</f>
        <v>123.32727272727273</v>
      </c>
      <c r="R72" s="14">
        <f>K72/O72</f>
        <v>8809.0909090909081</v>
      </c>
      <c r="S72" s="43">
        <f>K72/O72/43560</f>
        <v>0.20222890057600798</v>
      </c>
      <c r="T72" s="38">
        <v>55</v>
      </c>
      <c r="U72" s="5" t="s">
        <v>55</v>
      </c>
      <c r="V72" t="s">
        <v>59</v>
      </c>
      <c r="X72" t="s">
        <v>49</v>
      </c>
      <c r="Y72">
        <v>0</v>
      </c>
      <c r="Z72">
        <v>1</v>
      </c>
      <c r="AA72" t="s">
        <v>50</v>
      </c>
      <c r="AC72" s="6" t="s">
        <v>51</v>
      </c>
      <c r="AD72" t="s">
        <v>52</v>
      </c>
    </row>
    <row r="73" spans="1:44" x14ac:dyDescent="0.25">
      <c r="A73" t="s">
        <v>60</v>
      </c>
      <c r="B73" t="s">
        <v>61</v>
      </c>
      <c r="C73" s="24">
        <v>45685</v>
      </c>
      <c r="D73" s="14">
        <v>109900</v>
      </c>
      <c r="E73" t="s">
        <v>45</v>
      </c>
      <c r="F73" t="s">
        <v>46</v>
      </c>
      <c r="G73" s="14">
        <v>109900</v>
      </c>
      <c r="H73" s="14">
        <v>21900</v>
      </c>
      <c r="I73" s="19">
        <f>H73/G73*100</f>
        <v>19.927206551410372</v>
      </c>
      <c r="J73" s="14">
        <v>54644</v>
      </c>
      <c r="K73" s="14">
        <f>G73-48944</f>
        <v>60956</v>
      </c>
      <c r="L73" s="14">
        <v>5700</v>
      </c>
      <c r="M73" s="29">
        <v>50</v>
      </c>
      <c r="N73" s="33">
        <v>130</v>
      </c>
      <c r="O73" s="38">
        <v>0.14899999999999999</v>
      </c>
      <c r="P73" s="38">
        <v>0.14899999999999999</v>
      </c>
      <c r="Q73" s="14">
        <f>K73/M73</f>
        <v>1219.1199999999999</v>
      </c>
      <c r="R73" s="14">
        <f>K73/O73</f>
        <v>409100.67114093964</v>
      </c>
      <c r="S73" s="43">
        <f>K73/O73/43560</f>
        <v>9.3916591171014616</v>
      </c>
      <c r="T73" s="38">
        <v>50</v>
      </c>
      <c r="U73" s="5" t="s">
        <v>55</v>
      </c>
      <c r="V73" t="s">
        <v>62</v>
      </c>
      <c r="Y73">
        <v>0</v>
      </c>
      <c r="Z73">
        <v>1</v>
      </c>
      <c r="AA73" t="s">
        <v>50</v>
      </c>
      <c r="AC73" s="6" t="s">
        <v>51</v>
      </c>
      <c r="AD73" t="s">
        <v>63</v>
      </c>
    </row>
    <row r="74" spans="1:44" x14ac:dyDescent="0.25">
      <c r="A74" t="s">
        <v>64</v>
      </c>
      <c r="B74" t="s">
        <v>65</v>
      </c>
      <c r="C74" s="24">
        <v>45695</v>
      </c>
      <c r="D74" s="14">
        <v>115000</v>
      </c>
      <c r="E74" t="s">
        <v>45</v>
      </c>
      <c r="F74" t="s">
        <v>46</v>
      </c>
      <c r="G74" s="14">
        <v>115000</v>
      </c>
      <c r="H74" s="14">
        <v>44900</v>
      </c>
      <c r="I74" s="19">
        <f>H74/G74*100</f>
        <v>39.043478260869563</v>
      </c>
      <c r="J74" s="14">
        <v>95973</v>
      </c>
      <c r="K74" s="14">
        <f>G74-82293</f>
        <v>32707</v>
      </c>
      <c r="L74" s="14">
        <v>13680</v>
      </c>
      <c r="M74" s="29">
        <v>120</v>
      </c>
      <c r="N74" s="33">
        <v>136</v>
      </c>
      <c r="O74" s="38">
        <v>0.375</v>
      </c>
      <c r="P74" s="38">
        <v>0.375</v>
      </c>
      <c r="Q74" s="14">
        <f>K74/M74</f>
        <v>272.55833333333334</v>
      </c>
      <c r="R74" s="14">
        <f>K74/O74</f>
        <v>87218.666666666672</v>
      </c>
      <c r="S74" s="43">
        <f>K74/O74/43560</f>
        <v>2.0022650749923478</v>
      </c>
      <c r="T74" s="38">
        <v>120</v>
      </c>
      <c r="U74" s="5" t="s">
        <v>55</v>
      </c>
      <c r="V74" t="s">
        <v>66</v>
      </c>
      <c r="Y74">
        <v>0</v>
      </c>
      <c r="Z74">
        <v>1</v>
      </c>
      <c r="AA74" t="s">
        <v>50</v>
      </c>
      <c r="AC74" s="6" t="s">
        <v>51</v>
      </c>
      <c r="AD74" t="s">
        <v>63</v>
      </c>
    </row>
    <row r="75" spans="1:44" x14ac:dyDescent="0.25">
      <c r="A75" t="s">
        <v>67</v>
      </c>
      <c r="B75" t="s">
        <v>68</v>
      </c>
      <c r="C75" s="24">
        <v>45505</v>
      </c>
      <c r="D75" s="14">
        <v>90000</v>
      </c>
      <c r="E75" t="s">
        <v>45</v>
      </c>
      <c r="F75" t="s">
        <v>46</v>
      </c>
      <c r="G75" s="14">
        <v>90000</v>
      </c>
      <c r="H75" s="14">
        <v>54100</v>
      </c>
      <c r="I75" s="19">
        <f>H75/G75*100</f>
        <v>60.111111111111114</v>
      </c>
      <c r="J75" s="14">
        <v>117387</v>
      </c>
      <c r="K75" s="14">
        <f>G75-108267</f>
        <v>-18267</v>
      </c>
      <c r="L75" s="14">
        <v>9120</v>
      </c>
      <c r="M75" s="29">
        <v>80</v>
      </c>
      <c r="N75" s="33">
        <v>136</v>
      </c>
      <c r="O75" s="38">
        <v>0.25</v>
      </c>
      <c r="P75" s="38">
        <v>0.25</v>
      </c>
      <c r="Q75" s="14">
        <f>K75/M75</f>
        <v>-228.33750000000001</v>
      </c>
      <c r="R75" s="14">
        <f>K75/O75</f>
        <v>-73068</v>
      </c>
      <c r="S75" s="43">
        <f>K75/O75/43560</f>
        <v>-1.6774104683195592</v>
      </c>
      <c r="T75" s="38">
        <v>80</v>
      </c>
      <c r="U75" s="5" t="s">
        <v>55</v>
      </c>
      <c r="V75" t="s">
        <v>69</v>
      </c>
      <c r="Y75">
        <v>0</v>
      </c>
      <c r="Z75">
        <v>1</v>
      </c>
      <c r="AA75" t="s">
        <v>50</v>
      </c>
      <c r="AC75" s="6" t="s">
        <v>51</v>
      </c>
      <c r="AD75" t="s">
        <v>63</v>
      </c>
    </row>
    <row r="76" spans="1:44" x14ac:dyDescent="0.25">
      <c r="A76" t="s">
        <v>70</v>
      </c>
      <c r="B76" t="s">
        <v>71</v>
      </c>
      <c r="C76" s="24">
        <v>45702</v>
      </c>
      <c r="D76" s="14">
        <v>81500</v>
      </c>
      <c r="E76" t="s">
        <v>45</v>
      </c>
      <c r="F76" t="s">
        <v>46</v>
      </c>
      <c r="G76" s="14">
        <v>81500</v>
      </c>
      <c r="H76" s="14">
        <v>40800</v>
      </c>
      <c r="I76" s="19">
        <f>H76/G76*100</f>
        <v>50.061349693251536</v>
      </c>
      <c r="J76" s="14">
        <v>88525</v>
      </c>
      <c r="K76" s="14">
        <f>G76-79405</f>
        <v>2095</v>
      </c>
      <c r="L76" s="14">
        <v>9120</v>
      </c>
      <c r="M76" s="29">
        <v>80</v>
      </c>
      <c r="N76" s="33">
        <v>136</v>
      </c>
      <c r="O76" s="38">
        <v>0.25</v>
      </c>
      <c r="P76" s="38">
        <v>0.25</v>
      </c>
      <c r="Q76" s="14">
        <f>K76/M76</f>
        <v>26.1875</v>
      </c>
      <c r="R76" s="14">
        <f>K76/O76</f>
        <v>8380</v>
      </c>
      <c r="S76" s="43">
        <f>K76/O76/43560</f>
        <v>0.19237832874196512</v>
      </c>
      <c r="T76" s="38">
        <v>80</v>
      </c>
      <c r="U76" s="5" t="s">
        <v>55</v>
      </c>
      <c r="V76" t="s">
        <v>72</v>
      </c>
      <c r="Y76">
        <v>0</v>
      </c>
      <c r="Z76">
        <v>1</v>
      </c>
      <c r="AA76" t="s">
        <v>50</v>
      </c>
      <c r="AC76" s="6" t="s">
        <v>51</v>
      </c>
      <c r="AD76" t="s">
        <v>63</v>
      </c>
    </row>
    <row r="77" spans="1:44" x14ac:dyDescent="0.25">
      <c r="A77" t="s">
        <v>73</v>
      </c>
      <c r="B77" t="s">
        <v>74</v>
      </c>
      <c r="C77" s="24">
        <v>45229</v>
      </c>
      <c r="D77" s="14">
        <v>95000</v>
      </c>
      <c r="E77" t="s">
        <v>45</v>
      </c>
      <c r="F77" t="s">
        <v>46</v>
      </c>
      <c r="G77" s="14">
        <v>95000</v>
      </c>
      <c r="H77" s="14">
        <v>33900</v>
      </c>
      <c r="I77" s="19">
        <f>H77/G77*100</f>
        <v>35.684210526315788</v>
      </c>
      <c r="J77" s="14">
        <v>95424</v>
      </c>
      <c r="K77" s="14">
        <f>G77-77184</f>
        <v>17816</v>
      </c>
      <c r="L77" s="14">
        <v>18240</v>
      </c>
      <c r="M77" s="29">
        <v>160</v>
      </c>
      <c r="N77" s="33">
        <v>136</v>
      </c>
      <c r="O77" s="38">
        <v>0.5</v>
      </c>
      <c r="P77" s="38">
        <v>0.5</v>
      </c>
      <c r="Q77" s="14">
        <f>K77/M77</f>
        <v>111.35</v>
      </c>
      <c r="R77" s="14">
        <f>K77/O77</f>
        <v>35632</v>
      </c>
      <c r="S77" s="43">
        <f>K77/O77/43560</f>
        <v>0.81799816345270893</v>
      </c>
      <c r="T77" s="38">
        <v>160</v>
      </c>
      <c r="U77" s="5" t="s">
        <v>55</v>
      </c>
      <c r="V77" t="s">
        <v>75</v>
      </c>
      <c r="Y77">
        <v>0</v>
      </c>
      <c r="Z77">
        <v>1</v>
      </c>
      <c r="AA77" t="s">
        <v>50</v>
      </c>
      <c r="AC77" s="6" t="s">
        <v>51</v>
      </c>
      <c r="AD77" t="s">
        <v>63</v>
      </c>
    </row>
    <row r="78" spans="1:44" x14ac:dyDescent="0.25">
      <c r="A78" t="s">
        <v>76</v>
      </c>
      <c r="B78" t="s">
        <v>77</v>
      </c>
      <c r="C78" s="24">
        <v>45569</v>
      </c>
      <c r="D78" s="14">
        <v>55000</v>
      </c>
      <c r="E78" t="s">
        <v>45</v>
      </c>
      <c r="F78" t="s">
        <v>46</v>
      </c>
      <c r="G78" s="14">
        <v>55000</v>
      </c>
      <c r="H78" s="14">
        <v>37400</v>
      </c>
      <c r="I78" s="19">
        <f>H78/G78*100</f>
        <v>68</v>
      </c>
      <c r="J78" s="14">
        <v>80507</v>
      </c>
      <c r="K78" s="14">
        <f>G78-66827</f>
        <v>-11827</v>
      </c>
      <c r="L78" s="14">
        <v>13680</v>
      </c>
      <c r="M78" s="29">
        <v>120</v>
      </c>
      <c r="N78" s="33">
        <v>136</v>
      </c>
      <c r="O78" s="38">
        <v>0.375</v>
      </c>
      <c r="P78" s="38">
        <v>0.375</v>
      </c>
      <c r="Q78" s="14">
        <f>K78/M78</f>
        <v>-98.558333333333337</v>
      </c>
      <c r="R78" s="14">
        <f>K78/O78</f>
        <v>-31538.666666666668</v>
      </c>
      <c r="S78" s="43">
        <f>K78/O78/43560</f>
        <v>-0.72402816039179674</v>
      </c>
      <c r="T78" s="38">
        <v>120</v>
      </c>
      <c r="U78" s="5" t="s">
        <v>55</v>
      </c>
      <c r="V78" t="s">
        <v>78</v>
      </c>
      <c r="Y78">
        <v>0</v>
      </c>
      <c r="Z78">
        <v>1</v>
      </c>
      <c r="AA78" t="s">
        <v>50</v>
      </c>
      <c r="AC78" s="6" t="s">
        <v>51</v>
      </c>
      <c r="AD78" t="s">
        <v>63</v>
      </c>
    </row>
    <row r="79" spans="1:44" x14ac:dyDescent="0.25">
      <c r="A79" t="s">
        <v>79</v>
      </c>
      <c r="B79" t="s">
        <v>80</v>
      </c>
      <c r="C79" s="24">
        <v>45141</v>
      </c>
      <c r="D79" s="14">
        <v>15000</v>
      </c>
      <c r="E79" t="s">
        <v>45</v>
      </c>
      <c r="F79" t="s">
        <v>46</v>
      </c>
      <c r="G79" s="14">
        <v>15000</v>
      </c>
      <c r="H79" s="14">
        <v>0</v>
      </c>
      <c r="I79" s="19">
        <f>H79/G79*100</f>
        <v>0</v>
      </c>
      <c r="J79" s="14">
        <v>60098</v>
      </c>
      <c r="K79" s="14">
        <f>G79-53258</f>
        <v>-38258</v>
      </c>
      <c r="L79" s="14">
        <v>6840</v>
      </c>
      <c r="M79" s="29">
        <v>60</v>
      </c>
      <c r="N79" s="33">
        <v>136</v>
      </c>
      <c r="O79" s="38">
        <v>0.187</v>
      </c>
      <c r="P79" s="38">
        <v>0.187</v>
      </c>
      <c r="Q79" s="14">
        <f>K79/M79</f>
        <v>-637.63333333333333</v>
      </c>
      <c r="R79" s="14">
        <f>K79/O79</f>
        <v>-204588.23529411765</v>
      </c>
      <c r="S79" s="43">
        <f>K79/O79/43560</f>
        <v>-4.6966996164857129</v>
      </c>
      <c r="T79" s="38">
        <v>60</v>
      </c>
      <c r="U79" s="5" t="s">
        <v>55</v>
      </c>
      <c r="V79" t="s">
        <v>81</v>
      </c>
      <c r="Y79">
        <v>0</v>
      </c>
      <c r="Z79">
        <v>1</v>
      </c>
      <c r="AA79" t="s">
        <v>50</v>
      </c>
      <c r="AC79" s="6" t="s">
        <v>82</v>
      </c>
      <c r="AD79" t="s">
        <v>63</v>
      </c>
    </row>
    <row r="80" spans="1:44" x14ac:dyDescent="0.25">
      <c r="A80" t="s">
        <v>83</v>
      </c>
      <c r="B80" t="s">
        <v>84</v>
      </c>
      <c r="C80" s="24">
        <v>45282</v>
      </c>
      <c r="D80" s="14">
        <v>85000</v>
      </c>
      <c r="E80" t="s">
        <v>85</v>
      </c>
      <c r="F80" t="s">
        <v>46</v>
      </c>
      <c r="G80" s="14">
        <v>85000</v>
      </c>
      <c r="H80" s="14">
        <v>32300</v>
      </c>
      <c r="I80" s="19">
        <f>H80/G80*100</f>
        <v>38</v>
      </c>
      <c r="J80" s="14">
        <v>90114</v>
      </c>
      <c r="K80" s="14">
        <f>G80-73301</f>
        <v>11699</v>
      </c>
      <c r="L80" s="14">
        <v>16813</v>
      </c>
      <c r="M80" s="29">
        <v>147.47999999999999</v>
      </c>
      <c r="N80" s="33">
        <v>120</v>
      </c>
      <c r="O80" s="38">
        <v>0.40600000000000003</v>
      </c>
      <c r="P80" s="38">
        <v>0.40600000000000003</v>
      </c>
      <c r="Q80" s="14">
        <f>K80/M80</f>
        <v>79.326010306482246</v>
      </c>
      <c r="R80" s="14">
        <f>K80/O80</f>
        <v>28815.270935960591</v>
      </c>
      <c r="S80" s="43">
        <f>K80/O80/43560</f>
        <v>0.66150759724427433</v>
      </c>
      <c r="T80" s="38">
        <v>147.47999999999999</v>
      </c>
      <c r="U80" s="5" t="s">
        <v>55</v>
      </c>
      <c r="Y80">
        <v>0</v>
      </c>
      <c r="Z80">
        <v>1</v>
      </c>
      <c r="AA80" t="s">
        <v>50</v>
      </c>
      <c r="AC80" s="6" t="s">
        <v>51</v>
      </c>
      <c r="AD80" t="s">
        <v>63</v>
      </c>
    </row>
    <row r="81" spans="1:30" x14ac:dyDescent="0.25">
      <c r="A81" t="s">
        <v>86</v>
      </c>
      <c r="B81" t="s">
        <v>87</v>
      </c>
      <c r="C81" s="24">
        <v>45461</v>
      </c>
      <c r="D81" s="14">
        <v>11000</v>
      </c>
      <c r="E81" t="s">
        <v>45</v>
      </c>
      <c r="F81" t="s">
        <v>46</v>
      </c>
      <c r="G81" s="14">
        <v>11000</v>
      </c>
      <c r="H81" s="14">
        <v>11600</v>
      </c>
      <c r="I81" s="19">
        <f>H81/G81*100</f>
        <v>105.45454545454544</v>
      </c>
      <c r="J81" s="14">
        <v>28684</v>
      </c>
      <c r="K81" s="14">
        <f>G81-21844</f>
        <v>-10844</v>
      </c>
      <c r="L81" s="14">
        <v>6840</v>
      </c>
      <c r="M81" s="29">
        <v>60</v>
      </c>
      <c r="N81" s="33">
        <v>118</v>
      </c>
      <c r="O81" s="38">
        <v>0.158</v>
      </c>
      <c r="P81" s="38">
        <v>0.16300000000000001</v>
      </c>
      <c r="Q81" s="14">
        <f>K81/M81</f>
        <v>-180.73333333333332</v>
      </c>
      <c r="R81" s="14">
        <f>K81/O81</f>
        <v>-68632.911392405062</v>
      </c>
      <c r="S81" s="43">
        <f>K81/O81/43560</f>
        <v>-1.5755948437191245</v>
      </c>
      <c r="T81" s="38">
        <v>60</v>
      </c>
      <c r="U81" s="5" t="s">
        <v>55</v>
      </c>
      <c r="V81" t="s">
        <v>88</v>
      </c>
      <c r="Y81">
        <v>0</v>
      </c>
      <c r="Z81">
        <v>1</v>
      </c>
      <c r="AA81" t="s">
        <v>50</v>
      </c>
      <c r="AC81" s="6" t="s">
        <v>51</v>
      </c>
      <c r="AD81" t="s">
        <v>63</v>
      </c>
    </row>
    <row r="82" spans="1:30" x14ac:dyDescent="0.25">
      <c r="A82" t="s">
        <v>89</v>
      </c>
      <c r="B82" t="s">
        <v>90</v>
      </c>
      <c r="C82" s="24">
        <v>45317</v>
      </c>
      <c r="D82" s="14">
        <v>180000</v>
      </c>
      <c r="E82" t="s">
        <v>45</v>
      </c>
      <c r="F82" t="s">
        <v>46</v>
      </c>
      <c r="G82" s="14">
        <v>180000</v>
      </c>
      <c r="H82" s="14">
        <v>12700</v>
      </c>
      <c r="I82" s="19">
        <f>H82/G82*100</f>
        <v>7.0555555555555554</v>
      </c>
      <c r="J82" s="14">
        <v>136188</v>
      </c>
      <c r="K82" s="14">
        <f>G82-102533</f>
        <v>77467</v>
      </c>
      <c r="L82" s="14">
        <v>33655</v>
      </c>
      <c r="M82" s="29">
        <v>0</v>
      </c>
      <c r="N82" s="33">
        <v>0</v>
      </c>
      <c r="O82" s="38">
        <v>24.039000000000001</v>
      </c>
      <c r="P82" s="38">
        <v>24.039000000000001</v>
      </c>
      <c r="Q82" s="14" t="e">
        <f>K82/M82</f>
        <v>#DIV/0!</v>
      </c>
      <c r="R82" s="14">
        <f>K82/O82</f>
        <v>3222.555014767669</v>
      </c>
      <c r="S82" s="43">
        <f>K82/O82/43560</f>
        <v>7.3979683534611318E-2</v>
      </c>
      <c r="T82" s="38">
        <v>0</v>
      </c>
      <c r="U82" s="5" t="s">
        <v>55</v>
      </c>
      <c r="V82" t="s">
        <v>91</v>
      </c>
      <c r="Y82">
        <v>1</v>
      </c>
      <c r="Z82">
        <v>0</v>
      </c>
      <c r="AA82" t="s">
        <v>50</v>
      </c>
      <c r="AC82" s="6" t="s">
        <v>51</v>
      </c>
    </row>
    <row r="83" spans="1:30" x14ac:dyDescent="0.25">
      <c r="A83" t="s">
        <v>92</v>
      </c>
      <c r="B83" t="s">
        <v>93</v>
      </c>
      <c r="C83" s="24">
        <v>45083</v>
      </c>
      <c r="D83" s="14">
        <v>80000</v>
      </c>
      <c r="E83" t="s">
        <v>94</v>
      </c>
      <c r="F83" t="s">
        <v>46</v>
      </c>
      <c r="G83" s="14">
        <v>80000</v>
      </c>
      <c r="H83" s="14">
        <v>34300</v>
      </c>
      <c r="I83" s="19">
        <f>H83/G83*100</f>
        <v>42.875</v>
      </c>
      <c r="J83" s="14">
        <v>96637</v>
      </c>
      <c r="K83" s="14">
        <f>G83-80937</f>
        <v>-937</v>
      </c>
      <c r="L83" s="14">
        <v>15700</v>
      </c>
      <c r="M83" s="29">
        <v>100</v>
      </c>
      <c r="N83" s="33">
        <v>144.5</v>
      </c>
      <c r="O83" s="38">
        <v>0.33200000000000002</v>
      </c>
      <c r="P83" s="38">
        <v>0.33200000000000002</v>
      </c>
      <c r="Q83" s="14">
        <f>K83/M83</f>
        <v>-9.3699999999999992</v>
      </c>
      <c r="R83" s="14">
        <f>K83/O83</f>
        <v>-2822.2891566265057</v>
      </c>
      <c r="S83" s="43">
        <f>K83/O83/43560</f>
        <v>-6.479084381603549E-2</v>
      </c>
      <c r="T83" s="38">
        <v>100</v>
      </c>
      <c r="U83" s="5" t="s">
        <v>55</v>
      </c>
      <c r="V83" t="s">
        <v>95</v>
      </c>
      <c r="Y83">
        <v>0</v>
      </c>
      <c r="Z83">
        <v>1</v>
      </c>
      <c r="AA83" t="s">
        <v>50</v>
      </c>
      <c r="AC83" s="6" t="s">
        <v>51</v>
      </c>
      <c r="AD83" t="s">
        <v>52</v>
      </c>
    </row>
    <row r="84" spans="1:30" x14ac:dyDescent="0.25">
      <c r="A84" t="s">
        <v>96</v>
      </c>
      <c r="B84" t="s">
        <v>97</v>
      </c>
      <c r="C84" s="24">
        <v>45587</v>
      </c>
      <c r="D84" s="14">
        <v>140000</v>
      </c>
      <c r="E84" t="s">
        <v>45</v>
      </c>
      <c r="F84" t="s">
        <v>46</v>
      </c>
      <c r="G84" s="14">
        <v>140000</v>
      </c>
      <c r="H84" s="14">
        <v>49000</v>
      </c>
      <c r="I84" s="19">
        <f>H84/G84*100</f>
        <v>35</v>
      </c>
      <c r="J84" s="14">
        <v>107831</v>
      </c>
      <c r="K84" s="14">
        <f>G84-98711</f>
        <v>41289</v>
      </c>
      <c r="L84" s="14">
        <v>9120</v>
      </c>
      <c r="M84" s="29">
        <v>80</v>
      </c>
      <c r="N84" s="33">
        <v>130</v>
      </c>
      <c r="O84" s="38">
        <v>0.23899999999999999</v>
      </c>
      <c r="P84" s="38">
        <v>0.23899999999999999</v>
      </c>
      <c r="Q84" s="14">
        <f>K84/M84</f>
        <v>516.11249999999995</v>
      </c>
      <c r="R84" s="14">
        <f>K84/O84</f>
        <v>172757.32217573223</v>
      </c>
      <c r="S84" s="43">
        <f>K84/O84/43560</f>
        <v>3.9659624007284719</v>
      </c>
      <c r="T84" s="38">
        <v>80</v>
      </c>
      <c r="U84" s="5" t="s">
        <v>55</v>
      </c>
      <c r="V84" t="s">
        <v>98</v>
      </c>
      <c r="Y84">
        <v>0</v>
      </c>
      <c r="Z84">
        <v>1</v>
      </c>
      <c r="AA84" t="s">
        <v>50</v>
      </c>
      <c r="AC84" s="6" t="s">
        <v>51</v>
      </c>
      <c r="AD84" t="s">
        <v>63</v>
      </c>
    </row>
    <row r="85" spans="1:30" x14ac:dyDescent="0.25">
      <c r="A85" t="s">
        <v>99</v>
      </c>
      <c r="B85" t="s">
        <v>100</v>
      </c>
      <c r="C85" s="24">
        <v>45371</v>
      </c>
      <c r="D85" s="14">
        <v>69000</v>
      </c>
      <c r="E85" t="s">
        <v>45</v>
      </c>
      <c r="F85" t="s">
        <v>46</v>
      </c>
      <c r="G85" s="14">
        <v>69000</v>
      </c>
      <c r="H85" s="14">
        <v>33000</v>
      </c>
      <c r="I85" s="19">
        <f>H85/G85*100</f>
        <v>47.826086956521742</v>
      </c>
      <c r="J85" s="14">
        <v>91836</v>
      </c>
      <c r="K85" s="14">
        <f>G85-85556</f>
        <v>-16556</v>
      </c>
      <c r="L85" s="14">
        <v>6280</v>
      </c>
      <c r="M85" s="29">
        <v>40</v>
      </c>
      <c r="N85" s="33">
        <v>130</v>
      </c>
      <c r="O85" s="38">
        <v>0.11899999999999999</v>
      </c>
      <c r="P85" s="38">
        <v>0.11899999999999999</v>
      </c>
      <c r="Q85" s="14">
        <f>K85/M85</f>
        <v>-413.9</v>
      </c>
      <c r="R85" s="14">
        <f>K85/O85</f>
        <v>-139126.05042016806</v>
      </c>
      <c r="S85" s="43">
        <f>K85/O85/43560</f>
        <v>-3.1938946377449051</v>
      </c>
      <c r="T85" s="38">
        <v>40</v>
      </c>
      <c r="U85" s="5" t="s">
        <v>55</v>
      </c>
      <c r="V85" t="s">
        <v>101</v>
      </c>
      <c r="Y85">
        <v>0</v>
      </c>
      <c r="Z85">
        <v>1</v>
      </c>
      <c r="AA85" t="s">
        <v>50</v>
      </c>
      <c r="AC85" s="6" t="s">
        <v>51</v>
      </c>
      <c r="AD85" t="s">
        <v>52</v>
      </c>
    </row>
    <row r="86" spans="1:30" x14ac:dyDescent="0.25">
      <c r="A86" t="s">
        <v>102</v>
      </c>
      <c r="B86" t="s">
        <v>103</v>
      </c>
      <c r="C86" s="24">
        <v>45400</v>
      </c>
      <c r="D86" s="14">
        <v>30000</v>
      </c>
      <c r="E86" t="s">
        <v>45</v>
      </c>
      <c r="F86" t="s">
        <v>46</v>
      </c>
      <c r="G86" s="14">
        <v>30000</v>
      </c>
      <c r="H86" s="14">
        <v>14900</v>
      </c>
      <c r="I86" s="19">
        <f>H86/G86*100</f>
        <v>49.666666666666664</v>
      </c>
      <c r="J86" s="14">
        <v>32772</v>
      </c>
      <c r="K86" s="14">
        <f>G86-26492</f>
        <v>3508</v>
      </c>
      <c r="L86" s="14">
        <v>6280</v>
      </c>
      <c r="M86" s="29">
        <v>40</v>
      </c>
      <c r="N86" s="33">
        <v>138</v>
      </c>
      <c r="O86" s="38">
        <v>0.127</v>
      </c>
      <c r="P86" s="38">
        <v>0.127</v>
      </c>
      <c r="Q86" s="14">
        <f>K86/M86</f>
        <v>87.7</v>
      </c>
      <c r="R86" s="14">
        <f>K86/O86</f>
        <v>27622.047244094487</v>
      </c>
      <c r="S86" s="43">
        <f>K86/O86/43560</f>
        <v>0.63411495050721967</v>
      </c>
      <c r="T86" s="38">
        <v>40</v>
      </c>
      <c r="U86" s="5" t="s">
        <v>55</v>
      </c>
      <c r="V86" t="s">
        <v>104</v>
      </c>
      <c r="Y86">
        <v>0</v>
      </c>
      <c r="Z86">
        <v>1</v>
      </c>
      <c r="AA86" t="s">
        <v>50</v>
      </c>
      <c r="AC86" s="6" t="s">
        <v>51</v>
      </c>
      <c r="AD86" t="s">
        <v>52</v>
      </c>
    </row>
    <row r="87" spans="1:30" x14ac:dyDescent="0.25">
      <c r="A87" t="s">
        <v>105</v>
      </c>
      <c r="B87" t="s">
        <v>106</v>
      </c>
      <c r="C87" s="24">
        <v>45237</v>
      </c>
      <c r="D87" s="14">
        <v>59000</v>
      </c>
      <c r="E87" t="s">
        <v>45</v>
      </c>
      <c r="F87" t="s">
        <v>46</v>
      </c>
      <c r="G87" s="14">
        <v>59000</v>
      </c>
      <c r="H87" s="14">
        <v>24000</v>
      </c>
      <c r="I87" s="19">
        <f>H87/G87*100</f>
        <v>40.677966101694921</v>
      </c>
      <c r="J87" s="14">
        <v>68277</v>
      </c>
      <c r="K87" s="14">
        <f>G87-61997</f>
        <v>-2997</v>
      </c>
      <c r="L87" s="14">
        <v>6280</v>
      </c>
      <c r="M87" s="29">
        <v>40</v>
      </c>
      <c r="N87" s="33">
        <v>138</v>
      </c>
      <c r="O87" s="38">
        <v>0.127</v>
      </c>
      <c r="P87" s="38">
        <v>0.127</v>
      </c>
      <c r="Q87" s="14">
        <f>K87/M87</f>
        <v>-74.924999999999997</v>
      </c>
      <c r="R87" s="14">
        <f>K87/O87</f>
        <v>-23598.425196850392</v>
      </c>
      <c r="S87" s="43">
        <f>K87/O87/43560</f>
        <v>-0.54174529836662977</v>
      </c>
      <c r="T87" s="38">
        <v>40</v>
      </c>
      <c r="U87" s="5" t="s">
        <v>55</v>
      </c>
      <c r="V87" t="s">
        <v>107</v>
      </c>
      <c r="Y87">
        <v>0</v>
      </c>
      <c r="Z87">
        <v>1</v>
      </c>
      <c r="AA87" t="s">
        <v>50</v>
      </c>
      <c r="AC87" s="6" t="s">
        <v>51</v>
      </c>
      <c r="AD87" t="s">
        <v>52</v>
      </c>
    </row>
    <row r="88" spans="1:30" x14ac:dyDescent="0.25">
      <c r="A88" t="s">
        <v>108</v>
      </c>
      <c r="B88" t="s">
        <v>109</v>
      </c>
      <c r="C88" s="24">
        <v>45126</v>
      </c>
      <c r="D88" s="14">
        <v>16250</v>
      </c>
      <c r="E88" t="s">
        <v>45</v>
      </c>
      <c r="F88" t="s">
        <v>46</v>
      </c>
      <c r="G88" s="14">
        <v>16250</v>
      </c>
      <c r="H88" s="14">
        <v>18900</v>
      </c>
      <c r="I88" s="19">
        <f>H88/G88*100</f>
        <v>116.30769230769231</v>
      </c>
      <c r="J88" s="14">
        <v>56202</v>
      </c>
      <c r="K88" s="14">
        <f>G88-51642</f>
        <v>-35392</v>
      </c>
      <c r="L88" s="14">
        <v>4560</v>
      </c>
      <c r="M88" s="29">
        <v>40</v>
      </c>
      <c r="N88" s="33">
        <v>138</v>
      </c>
      <c r="O88" s="38">
        <v>0.127</v>
      </c>
      <c r="P88" s="38">
        <v>0.127</v>
      </c>
      <c r="Q88" s="14">
        <f>K88/M88</f>
        <v>-884.8</v>
      </c>
      <c r="R88" s="14">
        <f>K88/O88</f>
        <v>-278677.16535433073</v>
      </c>
      <c r="S88" s="43">
        <f>K88/O88/43560</f>
        <v>-6.3975474140112656</v>
      </c>
      <c r="T88" s="38">
        <v>40</v>
      </c>
      <c r="U88" s="5" t="s">
        <v>55</v>
      </c>
      <c r="V88" t="s">
        <v>110</v>
      </c>
      <c r="Y88">
        <v>0</v>
      </c>
      <c r="Z88">
        <v>1</v>
      </c>
      <c r="AA88" t="s">
        <v>50</v>
      </c>
      <c r="AC88" s="6" t="s">
        <v>51</v>
      </c>
      <c r="AD88" t="s">
        <v>63</v>
      </c>
    </row>
    <row r="89" spans="1:30" x14ac:dyDescent="0.25">
      <c r="A89" t="s">
        <v>111</v>
      </c>
      <c r="B89" t="s">
        <v>112</v>
      </c>
      <c r="C89" s="24">
        <v>45681</v>
      </c>
      <c r="D89" s="14">
        <v>25500</v>
      </c>
      <c r="E89" t="s">
        <v>85</v>
      </c>
      <c r="F89" t="s">
        <v>46</v>
      </c>
      <c r="G89" s="14">
        <v>25500</v>
      </c>
      <c r="H89" s="14">
        <v>16900</v>
      </c>
      <c r="I89" s="19">
        <f>H89/G89*100</f>
        <v>66.274509803921561</v>
      </c>
      <c r="J89" s="14">
        <v>38545</v>
      </c>
      <c r="K89" s="14">
        <f>G89-33985</f>
        <v>-8485</v>
      </c>
      <c r="L89" s="14">
        <v>4560</v>
      </c>
      <c r="M89" s="29">
        <v>40</v>
      </c>
      <c r="N89" s="33">
        <v>144</v>
      </c>
      <c r="O89" s="38">
        <v>0.13200000000000001</v>
      </c>
      <c r="P89" s="38">
        <v>0.13200000000000001</v>
      </c>
      <c r="Q89" s="14">
        <f>K89/M89</f>
        <v>-212.125</v>
      </c>
      <c r="R89" s="14">
        <f>K89/O89</f>
        <v>-64280.303030303025</v>
      </c>
      <c r="S89" s="43">
        <f>K89/O89/43560</f>
        <v>-1.4756727050115479</v>
      </c>
      <c r="T89" s="38">
        <v>40</v>
      </c>
      <c r="U89" s="5" t="s">
        <v>55</v>
      </c>
      <c r="Y89">
        <v>0</v>
      </c>
      <c r="Z89">
        <v>1</v>
      </c>
      <c r="AA89" t="s">
        <v>50</v>
      </c>
      <c r="AC89" s="6" t="s">
        <v>51</v>
      </c>
      <c r="AD89" t="s">
        <v>63</v>
      </c>
    </row>
    <row r="90" spans="1:30" x14ac:dyDescent="0.25">
      <c r="A90" t="s">
        <v>113</v>
      </c>
      <c r="B90" t="s">
        <v>114</v>
      </c>
      <c r="C90" s="24">
        <v>45303</v>
      </c>
      <c r="D90" s="14">
        <v>11000</v>
      </c>
      <c r="E90" t="s">
        <v>94</v>
      </c>
      <c r="F90" t="s">
        <v>46</v>
      </c>
      <c r="G90" s="14">
        <v>11000</v>
      </c>
      <c r="H90" s="14">
        <v>14100</v>
      </c>
      <c r="I90" s="19">
        <f>H90/G90*100</f>
        <v>128.18181818181819</v>
      </c>
      <c r="J90" s="14">
        <v>42479</v>
      </c>
      <c r="K90" s="14">
        <f>G90-37919</f>
        <v>-26919</v>
      </c>
      <c r="L90" s="14">
        <v>4560</v>
      </c>
      <c r="M90" s="29">
        <v>40</v>
      </c>
      <c r="N90" s="33">
        <v>138</v>
      </c>
      <c r="O90" s="38">
        <v>0.127</v>
      </c>
      <c r="P90" s="38">
        <v>0.127</v>
      </c>
      <c r="Q90" s="14">
        <f>K90/M90</f>
        <v>-672.97500000000002</v>
      </c>
      <c r="R90" s="14">
        <f>K90/O90</f>
        <v>-211960.62992125985</v>
      </c>
      <c r="S90" s="43">
        <f>K90/O90/43560</f>
        <v>-4.865946508752522</v>
      </c>
      <c r="T90" s="38">
        <v>40</v>
      </c>
      <c r="U90" s="5" t="s">
        <v>55</v>
      </c>
      <c r="V90" t="s">
        <v>115</v>
      </c>
      <c r="Y90">
        <v>1</v>
      </c>
      <c r="Z90">
        <v>0</v>
      </c>
      <c r="AA90" t="s">
        <v>50</v>
      </c>
      <c r="AC90" s="6" t="s">
        <v>51</v>
      </c>
      <c r="AD90" t="s">
        <v>63</v>
      </c>
    </row>
    <row r="91" spans="1:30" x14ac:dyDescent="0.25">
      <c r="A91" t="s">
        <v>116</v>
      </c>
      <c r="B91" t="s">
        <v>117</v>
      </c>
      <c r="C91" s="24">
        <v>45324</v>
      </c>
      <c r="D91" s="14">
        <v>9000</v>
      </c>
      <c r="E91" t="s">
        <v>94</v>
      </c>
      <c r="F91" t="s">
        <v>46</v>
      </c>
      <c r="G91" s="14">
        <v>9000</v>
      </c>
      <c r="H91" s="14">
        <v>10400</v>
      </c>
      <c r="I91" s="19">
        <f>H91/G91*100</f>
        <v>115.55555555555554</v>
      </c>
      <c r="J91" s="14">
        <v>29518</v>
      </c>
      <c r="K91" s="14">
        <f>G91-24958</f>
        <v>-15958</v>
      </c>
      <c r="L91" s="14">
        <v>4560</v>
      </c>
      <c r="M91" s="29">
        <v>40</v>
      </c>
      <c r="N91" s="33">
        <v>138</v>
      </c>
      <c r="O91" s="38">
        <v>0.127</v>
      </c>
      <c r="P91" s="38">
        <v>0.127</v>
      </c>
      <c r="Q91" s="14">
        <f>K91/M91</f>
        <v>-398.95</v>
      </c>
      <c r="R91" s="14">
        <f>K91/O91</f>
        <v>-125653.54330708661</v>
      </c>
      <c r="S91" s="43">
        <f>K91/O91/43560</f>
        <v>-2.8846084322104364</v>
      </c>
      <c r="T91" s="38">
        <v>40</v>
      </c>
      <c r="U91" s="5" t="s">
        <v>55</v>
      </c>
      <c r="V91" t="s">
        <v>118</v>
      </c>
      <c r="Y91">
        <v>1</v>
      </c>
      <c r="Z91">
        <v>0</v>
      </c>
      <c r="AA91" t="s">
        <v>50</v>
      </c>
      <c r="AC91" s="6" t="s">
        <v>51</v>
      </c>
      <c r="AD91" t="s">
        <v>63</v>
      </c>
    </row>
    <row r="92" spans="1:30" x14ac:dyDescent="0.25">
      <c r="A92" t="s">
        <v>119</v>
      </c>
      <c r="C92" s="24">
        <v>45324</v>
      </c>
      <c r="D92" s="14">
        <v>1000</v>
      </c>
      <c r="E92" t="s">
        <v>94</v>
      </c>
      <c r="F92" t="s">
        <v>46</v>
      </c>
      <c r="G92" s="14">
        <v>1000</v>
      </c>
      <c r="H92" s="14">
        <v>3000</v>
      </c>
      <c r="I92" s="19">
        <f>H92/G92*100</f>
        <v>300</v>
      </c>
      <c r="J92" s="14">
        <v>9029</v>
      </c>
      <c r="K92" s="14">
        <f>G92-0</f>
        <v>1000</v>
      </c>
      <c r="L92" s="14">
        <v>9029</v>
      </c>
      <c r="M92" s="29">
        <v>79.2</v>
      </c>
      <c r="N92" s="33">
        <v>138</v>
      </c>
      <c r="O92" s="38">
        <v>0.251</v>
      </c>
      <c r="P92" s="38">
        <v>0.251</v>
      </c>
      <c r="Q92" s="14">
        <f>K92/M92</f>
        <v>12.626262626262626</v>
      </c>
      <c r="R92" s="14">
        <f>K92/O92</f>
        <v>3984.0637450199201</v>
      </c>
      <c r="S92" s="43">
        <f>K92/O92/43560</f>
        <v>9.1461518480714418E-2</v>
      </c>
      <c r="T92" s="38">
        <v>79.2</v>
      </c>
      <c r="U92" s="5" t="s">
        <v>55</v>
      </c>
      <c r="V92" t="s">
        <v>120</v>
      </c>
      <c r="Y92">
        <v>0</v>
      </c>
      <c r="Z92">
        <v>1</v>
      </c>
      <c r="AA92" t="s">
        <v>50</v>
      </c>
      <c r="AC92" s="6" t="s">
        <v>121</v>
      </c>
      <c r="AD92" t="s">
        <v>63</v>
      </c>
    </row>
    <row r="93" spans="1:30" x14ac:dyDescent="0.25">
      <c r="A93" t="s">
        <v>122</v>
      </c>
      <c r="B93" t="s">
        <v>123</v>
      </c>
      <c r="C93" s="24">
        <v>45180</v>
      </c>
      <c r="D93" s="14">
        <v>30000</v>
      </c>
      <c r="E93" t="s">
        <v>45</v>
      </c>
      <c r="F93" t="s">
        <v>46</v>
      </c>
      <c r="G93" s="14">
        <v>30000</v>
      </c>
      <c r="H93" s="14">
        <v>33200</v>
      </c>
      <c r="I93" s="19">
        <f>H93/G93*100</f>
        <v>110.66666666666667</v>
      </c>
      <c r="J93" s="14">
        <v>93497</v>
      </c>
      <c r="K93" s="14">
        <f>G93-87217</f>
        <v>-57217</v>
      </c>
      <c r="L93" s="14">
        <v>6280</v>
      </c>
      <c r="M93" s="29">
        <v>40</v>
      </c>
      <c r="N93" s="33">
        <v>138</v>
      </c>
      <c r="O93" s="38">
        <v>0.127</v>
      </c>
      <c r="P93" s="38">
        <v>0.127</v>
      </c>
      <c r="Q93" s="14">
        <f>K93/M93</f>
        <v>-1430.425</v>
      </c>
      <c r="R93" s="14">
        <f>K93/O93</f>
        <v>-450527.55905511812</v>
      </c>
      <c r="S93" s="43">
        <f>K93/O93/43560</f>
        <v>-10.342689601816302</v>
      </c>
      <c r="T93" s="38">
        <v>40</v>
      </c>
      <c r="U93" s="5" t="s">
        <v>55</v>
      </c>
      <c r="V93" t="s">
        <v>124</v>
      </c>
      <c r="Y93">
        <v>0</v>
      </c>
      <c r="Z93">
        <v>1</v>
      </c>
      <c r="AA93" t="s">
        <v>50</v>
      </c>
      <c r="AC93" s="6" t="s">
        <v>51</v>
      </c>
      <c r="AD93" t="s">
        <v>52</v>
      </c>
    </row>
    <row r="94" spans="1:30" x14ac:dyDescent="0.25">
      <c r="A94" t="s">
        <v>125</v>
      </c>
      <c r="B94" t="s">
        <v>126</v>
      </c>
      <c r="C94" s="24">
        <v>45246</v>
      </c>
      <c r="D94" s="14">
        <v>39900</v>
      </c>
      <c r="E94" t="s">
        <v>127</v>
      </c>
      <c r="F94" t="s">
        <v>46</v>
      </c>
      <c r="G94" s="14">
        <v>39900</v>
      </c>
      <c r="H94" s="14">
        <v>23400</v>
      </c>
      <c r="I94" s="19">
        <f>H94/G94*100</f>
        <v>58.646616541353382</v>
      </c>
      <c r="J94" s="14">
        <v>67708</v>
      </c>
      <c r="K94" s="14">
        <f>G94-61428</f>
        <v>-21528</v>
      </c>
      <c r="L94" s="14">
        <v>6280</v>
      </c>
      <c r="M94" s="29">
        <v>40</v>
      </c>
      <c r="N94" s="33">
        <v>138</v>
      </c>
      <c r="O94" s="38">
        <v>0.127</v>
      </c>
      <c r="P94" s="38">
        <v>0.127</v>
      </c>
      <c r="Q94" s="14">
        <f>K94/M94</f>
        <v>-538.20000000000005</v>
      </c>
      <c r="R94" s="14">
        <f>K94/O94</f>
        <v>-169511.81102362205</v>
      </c>
      <c r="S94" s="43">
        <f>K94/O94/43560</f>
        <v>-3.8914557167957313</v>
      </c>
      <c r="T94" s="38">
        <v>40</v>
      </c>
      <c r="U94" s="5" t="s">
        <v>55</v>
      </c>
      <c r="V94" t="s">
        <v>128</v>
      </c>
      <c r="Y94">
        <v>0</v>
      </c>
      <c r="Z94">
        <v>1</v>
      </c>
      <c r="AA94" t="s">
        <v>50</v>
      </c>
      <c r="AC94" s="6" t="s">
        <v>51</v>
      </c>
      <c r="AD94" t="s">
        <v>52</v>
      </c>
    </row>
    <row r="95" spans="1:30" x14ac:dyDescent="0.25">
      <c r="A95" t="s">
        <v>129</v>
      </c>
      <c r="B95" t="s">
        <v>130</v>
      </c>
      <c r="C95" s="24">
        <v>45653</v>
      </c>
      <c r="D95" s="14">
        <v>108000</v>
      </c>
      <c r="E95" t="s">
        <v>45</v>
      </c>
      <c r="F95" t="s">
        <v>46</v>
      </c>
      <c r="G95" s="14">
        <v>108000</v>
      </c>
      <c r="H95" s="14">
        <v>58900</v>
      </c>
      <c r="I95" s="19">
        <f>H95/G95*100</f>
        <v>54.537037037037038</v>
      </c>
      <c r="J95" s="14">
        <v>130634</v>
      </c>
      <c r="K95" s="14">
        <f>G95-120429</f>
        <v>-12429</v>
      </c>
      <c r="L95" s="14">
        <v>10205</v>
      </c>
      <c r="M95" s="29">
        <v>65</v>
      </c>
      <c r="N95" s="33">
        <v>138</v>
      </c>
      <c r="O95" s="38">
        <v>0.20599999999999999</v>
      </c>
      <c r="P95" s="38">
        <v>0.20599999999999999</v>
      </c>
      <c r="Q95" s="14">
        <f>K95/M95</f>
        <v>-191.21538461538461</v>
      </c>
      <c r="R95" s="14">
        <f>K95/O95</f>
        <v>-60334.951456310686</v>
      </c>
      <c r="S95" s="43">
        <f>K95/O95/43560</f>
        <v>-1.3850998956912461</v>
      </c>
      <c r="T95" s="38">
        <v>65</v>
      </c>
      <c r="U95" s="5" t="s">
        <v>55</v>
      </c>
      <c r="V95" t="s">
        <v>131</v>
      </c>
      <c r="Y95">
        <v>0</v>
      </c>
      <c r="Z95">
        <v>1</v>
      </c>
      <c r="AA95" t="s">
        <v>50</v>
      </c>
      <c r="AC95" s="6" t="s">
        <v>51</v>
      </c>
      <c r="AD95" t="s">
        <v>52</v>
      </c>
    </row>
    <row r="96" spans="1:30" x14ac:dyDescent="0.25">
      <c r="A96" t="s">
        <v>132</v>
      </c>
      <c r="B96" t="s">
        <v>133</v>
      </c>
      <c r="C96" s="24">
        <v>45197</v>
      </c>
      <c r="D96" s="14">
        <v>33000</v>
      </c>
      <c r="E96" t="s">
        <v>134</v>
      </c>
      <c r="F96" t="s">
        <v>46</v>
      </c>
      <c r="G96" s="14">
        <v>33000</v>
      </c>
      <c r="H96" s="14">
        <v>31600</v>
      </c>
      <c r="I96" s="19">
        <f>H96/G96*100</f>
        <v>95.757575757575751</v>
      </c>
      <c r="J96" s="14">
        <v>88714</v>
      </c>
      <c r="K96" s="14">
        <f>G96-82434</f>
        <v>-49434</v>
      </c>
      <c r="L96" s="14">
        <v>6280</v>
      </c>
      <c r="M96" s="29">
        <v>40</v>
      </c>
      <c r="N96" s="33">
        <v>138</v>
      </c>
      <c r="O96" s="38">
        <v>0.127</v>
      </c>
      <c r="P96" s="38">
        <v>0.127</v>
      </c>
      <c r="Q96" s="14">
        <f>K96/M96</f>
        <v>-1235.8499999999999</v>
      </c>
      <c r="R96" s="14">
        <f>K96/O96</f>
        <v>-389244.09448818897</v>
      </c>
      <c r="S96" s="43">
        <f>K96/O96/43560</f>
        <v>-8.9358148413266516</v>
      </c>
      <c r="T96" s="38">
        <v>40</v>
      </c>
      <c r="U96" s="5" t="s">
        <v>55</v>
      </c>
      <c r="V96" t="s">
        <v>135</v>
      </c>
      <c r="Y96">
        <v>0</v>
      </c>
      <c r="Z96">
        <v>1</v>
      </c>
      <c r="AA96" t="s">
        <v>50</v>
      </c>
      <c r="AC96" s="6" t="s">
        <v>51</v>
      </c>
      <c r="AD96" t="s">
        <v>52</v>
      </c>
    </row>
    <row r="97" spans="1:30" x14ac:dyDescent="0.25">
      <c r="A97" t="s">
        <v>136</v>
      </c>
      <c r="B97" t="s">
        <v>137</v>
      </c>
      <c r="C97" s="24">
        <v>45168</v>
      </c>
      <c r="D97" s="14">
        <v>20000</v>
      </c>
      <c r="E97" t="s">
        <v>45</v>
      </c>
      <c r="F97" t="s">
        <v>46</v>
      </c>
      <c r="G97" s="14">
        <v>20000</v>
      </c>
      <c r="H97" s="14">
        <v>36200</v>
      </c>
      <c r="I97" s="19">
        <f>H97/G97*100</f>
        <v>181</v>
      </c>
      <c r="J97" s="14">
        <v>106121</v>
      </c>
      <c r="K97" s="14">
        <f>G97-99841</f>
        <v>-79841</v>
      </c>
      <c r="L97" s="14">
        <v>6280</v>
      </c>
      <c r="M97" s="29">
        <v>40</v>
      </c>
      <c r="N97" s="33">
        <v>138</v>
      </c>
      <c r="O97" s="38">
        <v>0.127</v>
      </c>
      <c r="P97" s="38">
        <v>0.127</v>
      </c>
      <c r="Q97" s="14">
        <f>K97/M97</f>
        <v>-1996.0250000000001</v>
      </c>
      <c r="R97" s="14">
        <f>K97/O97</f>
        <v>-628669.29133858264</v>
      </c>
      <c r="S97" s="43">
        <f>K97/O97/43560</f>
        <v>-14.432261050013375</v>
      </c>
      <c r="T97" s="38">
        <v>40</v>
      </c>
      <c r="U97" s="5" t="s">
        <v>55</v>
      </c>
      <c r="V97" t="s">
        <v>138</v>
      </c>
      <c r="Y97">
        <v>0</v>
      </c>
      <c r="Z97">
        <v>1</v>
      </c>
      <c r="AA97" t="s">
        <v>50</v>
      </c>
      <c r="AC97" s="6" t="s">
        <v>51</v>
      </c>
      <c r="AD97" t="s">
        <v>52</v>
      </c>
    </row>
    <row r="98" spans="1:30" x14ac:dyDescent="0.25">
      <c r="A98" t="s">
        <v>139</v>
      </c>
      <c r="B98" t="s">
        <v>140</v>
      </c>
      <c r="C98" s="24">
        <v>45509</v>
      </c>
      <c r="D98" s="14">
        <v>61000</v>
      </c>
      <c r="E98" t="s">
        <v>45</v>
      </c>
      <c r="F98" t="s">
        <v>46</v>
      </c>
      <c r="G98" s="14">
        <v>61000</v>
      </c>
      <c r="H98" s="14">
        <v>49600</v>
      </c>
      <c r="I98" s="19">
        <f>H98/G98*100</f>
        <v>81.311475409836063</v>
      </c>
      <c r="J98" s="14">
        <v>107413</v>
      </c>
      <c r="K98" s="14">
        <f>G98-100744</f>
        <v>-39744</v>
      </c>
      <c r="L98" s="14">
        <v>6669</v>
      </c>
      <c r="M98" s="29">
        <v>58.5</v>
      </c>
      <c r="N98" s="33">
        <v>136</v>
      </c>
      <c r="O98" s="38">
        <v>0.183</v>
      </c>
      <c r="P98" s="38">
        <v>0.183</v>
      </c>
      <c r="Q98" s="14">
        <f>K98/M98</f>
        <v>-679.38461538461536</v>
      </c>
      <c r="R98" s="14">
        <f>K98/O98</f>
        <v>-217180.32786885247</v>
      </c>
      <c r="S98" s="43">
        <f>K98/O98/43560</f>
        <v>-4.9857742853271914</v>
      </c>
      <c r="T98" s="38">
        <v>58.5</v>
      </c>
      <c r="U98" s="5" t="s">
        <v>55</v>
      </c>
      <c r="V98" t="s">
        <v>141</v>
      </c>
      <c r="Y98">
        <v>0</v>
      </c>
      <c r="Z98">
        <v>0</v>
      </c>
      <c r="AA98" t="s">
        <v>50</v>
      </c>
      <c r="AC98" s="6" t="s">
        <v>121</v>
      </c>
      <c r="AD98" t="s">
        <v>63</v>
      </c>
    </row>
    <row r="99" spans="1:30" x14ac:dyDescent="0.25">
      <c r="A99" t="s">
        <v>142</v>
      </c>
      <c r="B99" t="s">
        <v>143</v>
      </c>
      <c r="C99" s="24">
        <v>45112</v>
      </c>
      <c r="D99" s="14">
        <v>45000</v>
      </c>
      <c r="E99" t="s">
        <v>134</v>
      </c>
      <c r="F99" t="s">
        <v>46</v>
      </c>
      <c r="G99" s="14">
        <v>45000</v>
      </c>
      <c r="H99" s="14">
        <v>20600</v>
      </c>
      <c r="I99" s="19">
        <f>H99/G99*100</f>
        <v>45.777777777777779</v>
      </c>
      <c r="J99" s="14">
        <v>54685</v>
      </c>
      <c r="K99" s="14">
        <f>G99-50685</f>
        <v>-5685</v>
      </c>
      <c r="L99" s="14">
        <v>4000</v>
      </c>
      <c r="M99" s="29">
        <v>40</v>
      </c>
      <c r="N99" s="33">
        <v>136</v>
      </c>
      <c r="O99" s="38">
        <v>0.125</v>
      </c>
      <c r="P99" s="38">
        <v>0.125</v>
      </c>
      <c r="Q99" s="14">
        <f>K99/M99</f>
        <v>-142.125</v>
      </c>
      <c r="R99" s="14">
        <f>K99/O99</f>
        <v>-45480</v>
      </c>
      <c r="S99" s="43">
        <f>K99/O99/43560</f>
        <v>-1.0440771349862259</v>
      </c>
      <c r="T99" s="38">
        <v>40</v>
      </c>
      <c r="U99" s="5" t="s">
        <v>55</v>
      </c>
      <c r="V99" t="s">
        <v>144</v>
      </c>
      <c r="W99" t="s">
        <v>145</v>
      </c>
      <c r="Y99">
        <v>0</v>
      </c>
      <c r="Z99">
        <v>1</v>
      </c>
      <c r="AA99" t="s">
        <v>50</v>
      </c>
      <c r="AC99" s="6" t="s">
        <v>51</v>
      </c>
      <c r="AD99" t="s">
        <v>52</v>
      </c>
    </row>
    <row r="100" spans="1:30" x14ac:dyDescent="0.25">
      <c r="A100" t="s">
        <v>145</v>
      </c>
      <c r="B100" t="s">
        <v>146</v>
      </c>
      <c r="C100" s="24">
        <v>45112</v>
      </c>
      <c r="D100" s="14">
        <v>45000</v>
      </c>
      <c r="E100" t="s">
        <v>134</v>
      </c>
      <c r="F100" t="s">
        <v>46</v>
      </c>
      <c r="G100" s="14">
        <v>45000</v>
      </c>
      <c r="H100" s="14">
        <v>14900</v>
      </c>
      <c r="I100" s="19">
        <f>H100/G100*100</f>
        <v>33.111111111111114</v>
      </c>
      <c r="J100" s="14">
        <v>41598</v>
      </c>
      <c r="K100" s="14">
        <f>G100-37598</f>
        <v>7402</v>
      </c>
      <c r="L100" s="14">
        <v>4000</v>
      </c>
      <c r="M100" s="29">
        <v>40</v>
      </c>
      <c r="N100" s="33">
        <v>136</v>
      </c>
      <c r="O100" s="38">
        <v>0.125</v>
      </c>
      <c r="P100" s="38">
        <v>0.125</v>
      </c>
      <c r="Q100" s="14">
        <f>K100/M100</f>
        <v>185.05</v>
      </c>
      <c r="R100" s="14">
        <f>K100/O100</f>
        <v>59216</v>
      </c>
      <c r="S100" s="43">
        <f>K100/O100/43560</f>
        <v>1.3594123048668503</v>
      </c>
      <c r="T100" s="38">
        <v>40</v>
      </c>
      <c r="U100" s="5" t="s">
        <v>55</v>
      </c>
      <c r="V100" t="s">
        <v>144</v>
      </c>
      <c r="W100" t="s">
        <v>142</v>
      </c>
      <c r="Y100">
        <v>0</v>
      </c>
      <c r="Z100">
        <v>1</v>
      </c>
      <c r="AA100" t="s">
        <v>50</v>
      </c>
      <c r="AC100" s="6" t="s">
        <v>51</v>
      </c>
      <c r="AD100" t="s">
        <v>52</v>
      </c>
    </row>
    <row r="101" spans="1:30" x14ac:dyDescent="0.25">
      <c r="A101" t="s">
        <v>147</v>
      </c>
      <c r="B101" t="s">
        <v>148</v>
      </c>
      <c r="C101" s="24">
        <v>45450</v>
      </c>
      <c r="D101" s="14">
        <v>18000</v>
      </c>
      <c r="E101" t="s">
        <v>45</v>
      </c>
      <c r="F101" t="s">
        <v>46</v>
      </c>
      <c r="G101" s="14">
        <v>18000</v>
      </c>
      <c r="H101" s="14">
        <v>33800</v>
      </c>
      <c r="I101" s="19">
        <f>H101/G101*100</f>
        <v>187.77777777777777</v>
      </c>
      <c r="J101" s="14">
        <v>72620</v>
      </c>
      <c r="K101" s="14">
        <f>G101-60374</f>
        <v>-42374</v>
      </c>
      <c r="L101" s="14">
        <v>12246</v>
      </c>
      <c r="M101" s="29">
        <v>78</v>
      </c>
      <c r="N101" s="33">
        <v>136</v>
      </c>
      <c r="O101" s="38">
        <v>0.24399999999999999</v>
      </c>
      <c r="P101" s="38">
        <v>0.24399999999999999</v>
      </c>
      <c r="Q101" s="14">
        <f>K101/M101</f>
        <v>-543.25641025641028</v>
      </c>
      <c r="R101" s="14">
        <f>K101/O101</f>
        <v>-173663.93442622951</v>
      </c>
      <c r="S101" s="43">
        <f>K101/O101/43560</f>
        <v>-3.9867753541374999</v>
      </c>
      <c r="T101" s="38">
        <v>78</v>
      </c>
      <c r="U101" s="5" t="s">
        <v>55</v>
      </c>
      <c r="V101" t="s">
        <v>149</v>
      </c>
      <c r="Y101">
        <v>0</v>
      </c>
      <c r="Z101">
        <v>1</v>
      </c>
      <c r="AA101" t="s">
        <v>50</v>
      </c>
      <c r="AC101" s="6" t="s">
        <v>51</v>
      </c>
      <c r="AD101" t="s">
        <v>52</v>
      </c>
    </row>
    <row r="102" spans="1:30" x14ac:dyDescent="0.25">
      <c r="A102" t="s">
        <v>150</v>
      </c>
      <c r="B102" t="s">
        <v>151</v>
      </c>
      <c r="C102" s="24">
        <v>45454</v>
      </c>
      <c r="D102" s="14">
        <v>125000</v>
      </c>
      <c r="E102" t="s">
        <v>45</v>
      </c>
      <c r="F102" t="s">
        <v>46</v>
      </c>
      <c r="G102" s="14">
        <v>125000</v>
      </c>
      <c r="H102" s="14">
        <v>49900</v>
      </c>
      <c r="I102" s="19">
        <f>H102/G102*100</f>
        <v>39.92</v>
      </c>
      <c r="J102" s="14">
        <v>107701</v>
      </c>
      <c r="K102" s="14">
        <f>G102-95455</f>
        <v>29545</v>
      </c>
      <c r="L102" s="14">
        <v>12246</v>
      </c>
      <c r="M102" s="29">
        <v>78</v>
      </c>
      <c r="N102" s="33">
        <v>136</v>
      </c>
      <c r="O102" s="38">
        <v>0.24399999999999999</v>
      </c>
      <c r="P102" s="38">
        <v>0.24399999999999999</v>
      </c>
      <c r="Q102" s="14">
        <f>K102/M102</f>
        <v>378.78205128205127</v>
      </c>
      <c r="R102" s="14">
        <f>K102/O102</f>
        <v>121086.06557377049</v>
      </c>
      <c r="S102" s="43">
        <f>K102/O102/43560</f>
        <v>2.7797535714823347</v>
      </c>
      <c r="T102" s="38">
        <v>78</v>
      </c>
      <c r="U102" s="5" t="s">
        <v>55</v>
      </c>
      <c r="V102" t="s">
        <v>152</v>
      </c>
      <c r="Y102">
        <v>0</v>
      </c>
      <c r="Z102">
        <v>1</v>
      </c>
      <c r="AA102" t="s">
        <v>50</v>
      </c>
      <c r="AC102" s="6" t="s">
        <v>51</v>
      </c>
      <c r="AD102" t="s">
        <v>52</v>
      </c>
    </row>
    <row r="103" spans="1:30" x14ac:dyDescent="0.25">
      <c r="A103" t="s">
        <v>153</v>
      </c>
      <c r="B103" t="s">
        <v>154</v>
      </c>
      <c r="C103" s="24">
        <v>45345</v>
      </c>
      <c r="D103" s="14">
        <v>120000</v>
      </c>
      <c r="E103" t="s">
        <v>45</v>
      </c>
      <c r="F103" t="s">
        <v>46</v>
      </c>
      <c r="G103" s="14">
        <v>120000</v>
      </c>
      <c r="H103" s="14">
        <v>75900</v>
      </c>
      <c r="I103" s="19">
        <f>H103/G103*100</f>
        <v>63.249999999999993</v>
      </c>
      <c r="J103" s="14">
        <v>199089</v>
      </c>
      <c r="K103" s="14">
        <f>G103-186215</f>
        <v>-66215</v>
      </c>
      <c r="L103" s="14">
        <v>12874</v>
      </c>
      <c r="M103" s="29">
        <v>82</v>
      </c>
      <c r="N103" s="33">
        <v>136</v>
      </c>
      <c r="O103" s="38">
        <v>0.25600000000000001</v>
      </c>
      <c r="P103" s="38">
        <v>0.25600000000000001</v>
      </c>
      <c r="Q103" s="14">
        <f>K103/M103</f>
        <v>-807.5</v>
      </c>
      <c r="R103" s="14">
        <f>K103/O103</f>
        <v>-258652.34375</v>
      </c>
      <c r="S103" s="43">
        <f>K103/O103/43560</f>
        <v>-5.9378407656106518</v>
      </c>
      <c r="T103" s="38">
        <v>82</v>
      </c>
      <c r="U103" s="5" t="s">
        <v>55</v>
      </c>
      <c r="V103" t="s">
        <v>155</v>
      </c>
      <c r="Y103">
        <v>0</v>
      </c>
      <c r="Z103">
        <v>1</v>
      </c>
      <c r="AA103" t="s">
        <v>50</v>
      </c>
      <c r="AC103" s="6" t="s">
        <v>51</v>
      </c>
      <c r="AD103" t="s">
        <v>52</v>
      </c>
    </row>
    <row r="104" spans="1:30" x14ac:dyDescent="0.25">
      <c r="A104" t="s">
        <v>156</v>
      </c>
      <c r="B104" t="s">
        <v>157</v>
      </c>
      <c r="C104" s="24">
        <v>45638</v>
      </c>
      <c r="D104" s="14">
        <v>170000</v>
      </c>
      <c r="E104" t="s">
        <v>45</v>
      </c>
      <c r="F104" t="s">
        <v>46</v>
      </c>
      <c r="G104" s="14">
        <v>170000</v>
      </c>
      <c r="H104" s="14">
        <v>63500</v>
      </c>
      <c r="I104" s="19">
        <f>H104/G104*100</f>
        <v>37.352941176470587</v>
      </c>
      <c r="J104" s="14">
        <v>135515</v>
      </c>
      <c r="K104" s="14">
        <f>G104-122641</f>
        <v>47359</v>
      </c>
      <c r="L104" s="14">
        <v>12874</v>
      </c>
      <c r="M104" s="29">
        <v>82</v>
      </c>
      <c r="N104" s="33">
        <v>136</v>
      </c>
      <c r="O104" s="38">
        <v>0.25600000000000001</v>
      </c>
      <c r="P104" s="38">
        <v>0.25600000000000001</v>
      </c>
      <c r="Q104" s="14">
        <f>K104/M104</f>
        <v>577.54878048780483</v>
      </c>
      <c r="R104" s="14">
        <f>K104/O104</f>
        <v>184996.09375</v>
      </c>
      <c r="S104" s="43">
        <f>K104/O104/43560</f>
        <v>4.2469259354912765</v>
      </c>
      <c r="T104" s="38">
        <v>82</v>
      </c>
      <c r="U104" s="5" t="s">
        <v>55</v>
      </c>
      <c r="V104" t="s">
        <v>158</v>
      </c>
      <c r="Y104">
        <v>0</v>
      </c>
      <c r="Z104">
        <v>1</v>
      </c>
      <c r="AA104" t="s">
        <v>50</v>
      </c>
      <c r="AC104" s="6" t="s">
        <v>51</v>
      </c>
      <c r="AD104" t="s">
        <v>52</v>
      </c>
    </row>
    <row r="105" spans="1:30" x14ac:dyDescent="0.25">
      <c r="A105" t="s">
        <v>159</v>
      </c>
      <c r="B105" t="s">
        <v>160</v>
      </c>
      <c r="C105" s="24">
        <v>45233</v>
      </c>
      <c r="D105" s="14">
        <v>120000</v>
      </c>
      <c r="E105" t="s">
        <v>45</v>
      </c>
      <c r="F105" t="s">
        <v>46</v>
      </c>
      <c r="G105" s="14">
        <v>120000</v>
      </c>
      <c r="H105" s="14">
        <v>32600</v>
      </c>
      <c r="I105" s="19">
        <f>H105/G105*100</f>
        <v>27.166666666666668</v>
      </c>
      <c r="J105" s="14">
        <v>90810</v>
      </c>
      <c r="K105" s="14">
        <f>G105-82960</f>
        <v>37040</v>
      </c>
      <c r="L105" s="14">
        <v>7850</v>
      </c>
      <c r="M105" s="29">
        <v>50</v>
      </c>
      <c r="N105" s="33">
        <v>138</v>
      </c>
      <c r="O105" s="38">
        <v>0.158</v>
      </c>
      <c r="P105" s="38">
        <v>0.158</v>
      </c>
      <c r="Q105" s="14">
        <f>K105/M105</f>
        <v>740.8</v>
      </c>
      <c r="R105" s="14">
        <f>K105/O105</f>
        <v>234430.37974683545</v>
      </c>
      <c r="S105" s="43">
        <f>K105/O105/43560</f>
        <v>5.3817809859236787</v>
      </c>
      <c r="T105" s="38">
        <v>50</v>
      </c>
      <c r="U105" s="5" t="s">
        <v>55</v>
      </c>
      <c r="V105" t="s">
        <v>161</v>
      </c>
      <c r="Y105">
        <v>0</v>
      </c>
      <c r="Z105">
        <v>1</v>
      </c>
      <c r="AA105" t="s">
        <v>50</v>
      </c>
      <c r="AC105" s="6" t="s">
        <v>51</v>
      </c>
      <c r="AD105" t="s">
        <v>52</v>
      </c>
    </row>
    <row r="106" spans="1:30" x14ac:dyDescent="0.25">
      <c r="A106" t="s">
        <v>159</v>
      </c>
      <c r="B106" t="s">
        <v>160</v>
      </c>
      <c r="C106" s="24">
        <v>45637</v>
      </c>
      <c r="D106" s="14">
        <v>146500</v>
      </c>
      <c r="E106" t="s">
        <v>45</v>
      </c>
      <c r="F106" t="s">
        <v>46</v>
      </c>
      <c r="G106" s="14">
        <v>146500</v>
      </c>
      <c r="H106" s="14">
        <v>42500</v>
      </c>
      <c r="I106" s="19">
        <f>H106/G106*100</f>
        <v>29.010238907849828</v>
      </c>
      <c r="J106" s="14">
        <v>90810</v>
      </c>
      <c r="K106" s="14">
        <f>G106-82960</f>
        <v>63540</v>
      </c>
      <c r="L106" s="14">
        <v>7850</v>
      </c>
      <c r="M106" s="29">
        <v>50</v>
      </c>
      <c r="N106" s="33">
        <v>138</v>
      </c>
      <c r="O106" s="38">
        <v>0.158</v>
      </c>
      <c r="P106" s="38">
        <v>0.158</v>
      </c>
      <c r="Q106" s="14">
        <f>K106/M106</f>
        <v>1270.8</v>
      </c>
      <c r="R106" s="14">
        <f>K106/O106</f>
        <v>402151.89873417723</v>
      </c>
      <c r="S106" s="43">
        <f>K106/O106/43560</f>
        <v>9.2321372528507162</v>
      </c>
      <c r="T106" s="38">
        <v>50</v>
      </c>
      <c r="U106" s="5" t="s">
        <v>55</v>
      </c>
      <c r="V106" t="s">
        <v>162</v>
      </c>
      <c r="Y106">
        <v>0</v>
      </c>
      <c r="Z106">
        <v>1</v>
      </c>
      <c r="AA106" t="s">
        <v>50</v>
      </c>
      <c r="AC106" s="6" t="s">
        <v>51</v>
      </c>
      <c r="AD106" t="s">
        <v>52</v>
      </c>
    </row>
    <row r="107" spans="1:30" x14ac:dyDescent="0.25">
      <c r="A107" t="s">
        <v>163</v>
      </c>
      <c r="B107" t="s">
        <v>164</v>
      </c>
      <c r="C107" s="24">
        <v>45411</v>
      </c>
      <c r="D107" s="14">
        <v>90000</v>
      </c>
      <c r="E107" t="s">
        <v>134</v>
      </c>
      <c r="F107" t="s">
        <v>46</v>
      </c>
      <c r="G107" s="14">
        <v>90000</v>
      </c>
      <c r="H107" s="14">
        <v>40500</v>
      </c>
      <c r="I107" s="19">
        <f>H107/G107*100</f>
        <v>45</v>
      </c>
      <c r="J107" s="14">
        <v>88785</v>
      </c>
      <c r="K107" s="14">
        <f>G107-82505</f>
        <v>7495</v>
      </c>
      <c r="L107" s="14">
        <v>6280</v>
      </c>
      <c r="M107" s="29">
        <v>40</v>
      </c>
      <c r="N107" s="33">
        <v>138</v>
      </c>
      <c r="O107" s="38">
        <v>0.127</v>
      </c>
      <c r="P107" s="38">
        <v>0.127</v>
      </c>
      <c r="Q107" s="14">
        <f>K107/M107</f>
        <v>187.375</v>
      </c>
      <c r="R107" s="14">
        <f>K107/O107</f>
        <v>59015.748031496063</v>
      </c>
      <c r="S107" s="43">
        <f>K107/O107/43560</f>
        <v>1.3548151522382017</v>
      </c>
      <c r="T107" s="38">
        <v>40</v>
      </c>
      <c r="U107" s="5" t="s">
        <v>55</v>
      </c>
      <c r="V107" t="s">
        <v>165</v>
      </c>
      <c r="Y107">
        <v>0</v>
      </c>
      <c r="Z107">
        <v>1</v>
      </c>
      <c r="AA107" t="s">
        <v>50</v>
      </c>
      <c r="AC107" s="6" t="s">
        <v>51</v>
      </c>
      <c r="AD107" t="s">
        <v>52</v>
      </c>
    </row>
    <row r="108" spans="1:30" x14ac:dyDescent="0.25">
      <c r="A108" t="s">
        <v>166</v>
      </c>
      <c r="B108" t="s">
        <v>167</v>
      </c>
      <c r="C108" s="24">
        <v>45330</v>
      </c>
      <c r="D108" s="14">
        <v>68000</v>
      </c>
      <c r="E108" t="s">
        <v>45</v>
      </c>
      <c r="F108" t="s">
        <v>46</v>
      </c>
      <c r="G108" s="14">
        <v>68000</v>
      </c>
      <c r="H108" s="14">
        <v>32200</v>
      </c>
      <c r="I108" s="19">
        <f>H108/G108*100</f>
        <v>47.352941176470587</v>
      </c>
      <c r="J108" s="14">
        <v>90473</v>
      </c>
      <c r="K108" s="14">
        <f>G108-81053</f>
        <v>-13053</v>
      </c>
      <c r="L108" s="14">
        <v>9420</v>
      </c>
      <c r="M108" s="29">
        <v>60</v>
      </c>
      <c r="N108" s="33">
        <v>144.5</v>
      </c>
      <c r="O108" s="38">
        <v>0.19900000000000001</v>
      </c>
      <c r="P108" s="38">
        <v>0.19900000000000001</v>
      </c>
      <c r="Q108" s="14">
        <f>K108/M108</f>
        <v>-217.55</v>
      </c>
      <c r="R108" s="14">
        <f>K108/O108</f>
        <v>-65592.964824120601</v>
      </c>
      <c r="S108" s="43">
        <f>K108/O108/43560</f>
        <v>-1.5058072732810055</v>
      </c>
      <c r="T108" s="38">
        <v>60</v>
      </c>
      <c r="U108" s="5" t="s">
        <v>55</v>
      </c>
      <c r="V108" t="s">
        <v>168</v>
      </c>
      <c r="Y108">
        <v>0</v>
      </c>
      <c r="Z108">
        <v>1</v>
      </c>
      <c r="AA108" t="s">
        <v>50</v>
      </c>
      <c r="AC108" s="6" t="s">
        <v>51</v>
      </c>
      <c r="AD108" t="s">
        <v>52</v>
      </c>
    </row>
    <row r="109" spans="1:30" x14ac:dyDescent="0.25">
      <c r="A109" t="s">
        <v>169</v>
      </c>
      <c r="B109" t="s">
        <v>170</v>
      </c>
      <c r="C109" s="24">
        <v>45022</v>
      </c>
      <c r="D109" s="14">
        <v>23000</v>
      </c>
      <c r="E109" t="s">
        <v>94</v>
      </c>
      <c r="F109" t="s">
        <v>46</v>
      </c>
      <c r="G109" s="14">
        <v>23000</v>
      </c>
      <c r="H109" s="14">
        <v>23100</v>
      </c>
      <c r="I109" s="19">
        <f>H109/G109*100</f>
        <v>100.43478260869566</v>
      </c>
      <c r="J109" s="14">
        <v>67447</v>
      </c>
      <c r="K109" s="14">
        <f>G109-58817</f>
        <v>-35817</v>
      </c>
      <c r="L109" s="14">
        <v>8630</v>
      </c>
      <c r="M109" s="29">
        <v>75.7</v>
      </c>
      <c r="N109" s="33">
        <v>136</v>
      </c>
      <c r="O109" s="38">
        <v>0.23599999999999999</v>
      </c>
      <c r="P109" s="38">
        <v>0.23599999999999999</v>
      </c>
      <c r="Q109" s="14">
        <f>K109/M109</f>
        <v>-473.14398943196829</v>
      </c>
      <c r="R109" s="14">
        <f>K109/O109</f>
        <v>-151766.94915254239</v>
      </c>
      <c r="S109" s="43">
        <f>K109/O109/43560</f>
        <v>-3.4840897417939027</v>
      </c>
      <c r="T109" s="38">
        <v>75.7</v>
      </c>
      <c r="U109" s="5" t="s">
        <v>55</v>
      </c>
      <c r="V109" t="s">
        <v>171</v>
      </c>
      <c r="Y109">
        <v>1</v>
      </c>
      <c r="Z109">
        <v>0</v>
      </c>
      <c r="AA109" t="s">
        <v>50</v>
      </c>
      <c r="AC109" s="6" t="s">
        <v>51</v>
      </c>
      <c r="AD109" t="s">
        <v>63</v>
      </c>
    </row>
    <row r="110" spans="1:30" x14ac:dyDescent="0.25">
      <c r="A110" t="s">
        <v>172</v>
      </c>
      <c r="B110" t="s">
        <v>173</v>
      </c>
      <c r="C110" s="24">
        <v>45132</v>
      </c>
      <c r="D110" s="14">
        <v>80000</v>
      </c>
      <c r="E110" t="s">
        <v>134</v>
      </c>
      <c r="F110" t="s">
        <v>46</v>
      </c>
      <c r="G110" s="14">
        <v>80000</v>
      </c>
      <c r="H110" s="14">
        <v>36400</v>
      </c>
      <c r="I110" s="19">
        <f>H110/G110*100</f>
        <v>45.5</v>
      </c>
      <c r="J110" s="14">
        <v>100404</v>
      </c>
      <c r="K110" s="14">
        <f>G110-90030</f>
        <v>-10030</v>
      </c>
      <c r="L110" s="14">
        <v>10374</v>
      </c>
      <c r="M110" s="29">
        <v>91</v>
      </c>
      <c r="N110" s="33">
        <v>133</v>
      </c>
      <c r="O110" s="38">
        <v>0.27800000000000002</v>
      </c>
      <c r="P110" s="38">
        <v>0.27800000000000002</v>
      </c>
      <c r="Q110" s="14">
        <f>K110/M110</f>
        <v>-110.21978021978022</v>
      </c>
      <c r="R110" s="14">
        <f>K110/O110</f>
        <v>-36079.13669064748</v>
      </c>
      <c r="S110" s="43">
        <f>K110/O110/43560</f>
        <v>-0.82826300942716891</v>
      </c>
      <c r="T110" s="38">
        <v>91</v>
      </c>
      <c r="U110" s="5" t="s">
        <v>55</v>
      </c>
      <c r="V110" t="s">
        <v>174</v>
      </c>
      <c r="Y110">
        <v>0</v>
      </c>
      <c r="Z110">
        <v>1</v>
      </c>
      <c r="AA110" t="s">
        <v>50</v>
      </c>
      <c r="AC110" s="6" t="s">
        <v>51</v>
      </c>
      <c r="AD110" t="s">
        <v>63</v>
      </c>
    </row>
    <row r="111" spans="1:30" x14ac:dyDescent="0.25">
      <c r="A111" t="s">
        <v>175</v>
      </c>
      <c r="B111" t="s">
        <v>176</v>
      </c>
      <c r="C111" s="24">
        <v>45170</v>
      </c>
      <c r="D111" s="14">
        <v>164000</v>
      </c>
      <c r="E111" t="s">
        <v>45</v>
      </c>
      <c r="F111" t="s">
        <v>46</v>
      </c>
      <c r="G111" s="14">
        <v>164000</v>
      </c>
      <c r="H111" s="14">
        <v>36700</v>
      </c>
      <c r="I111" s="19">
        <f>H111/G111*100</f>
        <v>22.378048780487806</v>
      </c>
      <c r="J111" s="14">
        <v>102533</v>
      </c>
      <c r="K111" s="14">
        <f>G111-88403</f>
        <v>75597</v>
      </c>
      <c r="L111" s="14">
        <v>14130</v>
      </c>
      <c r="M111" s="29">
        <v>90</v>
      </c>
      <c r="N111" s="33">
        <v>135</v>
      </c>
      <c r="O111" s="38">
        <v>0.27900000000000003</v>
      </c>
      <c r="P111" s="38">
        <v>0.27900000000000003</v>
      </c>
      <c r="Q111" s="14">
        <f>K111/M111</f>
        <v>839.9666666666667</v>
      </c>
      <c r="R111" s="14">
        <f>K111/O111</f>
        <v>270956.98924731178</v>
      </c>
      <c r="S111" s="43">
        <f>K111/O111/43560</f>
        <v>6.2203165575599586</v>
      </c>
      <c r="T111" s="38">
        <v>90</v>
      </c>
      <c r="U111" s="5" t="s">
        <v>55</v>
      </c>
      <c r="V111" t="s">
        <v>177</v>
      </c>
      <c r="Y111">
        <v>0</v>
      </c>
      <c r="Z111">
        <v>1</v>
      </c>
      <c r="AA111" t="s">
        <v>50</v>
      </c>
      <c r="AC111" s="6" t="s">
        <v>51</v>
      </c>
      <c r="AD111" t="s">
        <v>52</v>
      </c>
    </row>
    <row r="112" spans="1:30" x14ac:dyDescent="0.25">
      <c r="A112" t="s">
        <v>178</v>
      </c>
      <c r="B112" t="s">
        <v>179</v>
      </c>
      <c r="C112" s="24">
        <v>45217</v>
      </c>
      <c r="D112" s="14">
        <v>135000</v>
      </c>
      <c r="E112" t="s">
        <v>45</v>
      </c>
      <c r="F112" t="s">
        <v>46</v>
      </c>
      <c r="G112" s="14">
        <v>135000</v>
      </c>
      <c r="H112" s="14">
        <v>37600</v>
      </c>
      <c r="I112" s="19">
        <f>H112/G112*100</f>
        <v>27.851851851851851</v>
      </c>
      <c r="J112" s="14">
        <v>104260</v>
      </c>
      <c r="K112" s="14">
        <f>G112-90915</f>
        <v>44085</v>
      </c>
      <c r="L112" s="14">
        <v>13345</v>
      </c>
      <c r="M112" s="29">
        <v>85</v>
      </c>
      <c r="N112" s="33">
        <v>137</v>
      </c>
      <c r="O112" s="38">
        <v>0.26700000000000002</v>
      </c>
      <c r="P112" s="38">
        <v>0.26700000000000002</v>
      </c>
      <c r="Q112" s="14">
        <f>K112/M112</f>
        <v>518.64705882352939</v>
      </c>
      <c r="R112" s="14">
        <f>K112/O112</f>
        <v>165112.35955056178</v>
      </c>
      <c r="S112" s="43">
        <f>K112/O112/43560</f>
        <v>3.790458208231446</v>
      </c>
      <c r="T112" s="38">
        <v>85</v>
      </c>
      <c r="U112" s="5" t="s">
        <v>55</v>
      </c>
      <c r="V112" t="s">
        <v>180</v>
      </c>
      <c r="Y112">
        <v>0</v>
      </c>
      <c r="Z112">
        <v>1</v>
      </c>
      <c r="AA112" t="s">
        <v>50</v>
      </c>
      <c r="AC112" s="6" t="s">
        <v>51</v>
      </c>
      <c r="AD112" t="s">
        <v>52</v>
      </c>
    </row>
    <row r="113" spans="1:30" x14ac:dyDescent="0.25">
      <c r="A113" t="s">
        <v>181</v>
      </c>
      <c r="B113" t="s">
        <v>182</v>
      </c>
      <c r="C113" s="24">
        <v>45471</v>
      </c>
      <c r="D113" s="14">
        <v>35000</v>
      </c>
      <c r="E113" t="s">
        <v>134</v>
      </c>
      <c r="F113" t="s">
        <v>46</v>
      </c>
      <c r="G113" s="14">
        <v>35000</v>
      </c>
      <c r="H113" s="14">
        <v>38400</v>
      </c>
      <c r="I113" s="19">
        <f>H113/G113*100</f>
        <v>109.71428571428572</v>
      </c>
      <c r="J113" s="14">
        <v>84242</v>
      </c>
      <c r="K113" s="14">
        <f>G113-74822</f>
        <v>-39822</v>
      </c>
      <c r="L113" s="14">
        <v>9420</v>
      </c>
      <c r="M113" s="29">
        <v>60</v>
      </c>
      <c r="N113" s="33">
        <v>135</v>
      </c>
      <c r="O113" s="38">
        <v>0.186</v>
      </c>
      <c r="P113" s="38">
        <v>0.186</v>
      </c>
      <c r="Q113" s="14">
        <f>K113/M113</f>
        <v>-663.7</v>
      </c>
      <c r="R113" s="14">
        <f>K113/O113</f>
        <v>-214096.77419354839</v>
      </c>
      <c r="S113" s="43">
        <f>K113/O113/43560</f>
        <v>-4.9149856334607067</v>
      </c>
      <c r="T113" s="38">
        <v>60</v>
      </c>
      <c r="U113" s="5" t="s">
        <v>55</v>
      </c>
      <c r="V113" t="s">
        <v>183</v>
      </c>
      <c r="Y113">
        <v>0</v>
      </c>
      <c r="Z113">
        <v>1</v>
      </c>
      <c r="AA113" t="s">
        <v>50</v>
      </c>
      <c r="AC113" s="6" t="s">
        <v>51</v>
      </c>
      <c r="AD113" t="s">
        <v>52</v>
      </c>
    </row>
    <row r="114" spans="1:30" x14ac:dyDescent="0.25">
      <c r="A114" t="s">
        <v>184</v>
      </c>
      <c r="B114" t="s">
        <v>185</v>
      </c>
      <c r="C114" s="24">
        <v>45264</v>
      </c>
      <c r="D114" s="14">
        <v>104000</v>
      </c>
      <c r="E114" t="s">
        <v>45</v>
      </c>
      <c r="F114" t="s">
        <v>46</v>
      </c>
      <c r="G114" s="14">
        <v>104000</v>
      </c>
      <c r="H114" s="14">
        <v>44100</v>
      </c>
      <c r="I114" s="19">
        <f>H114/G114*100</f>
        <v>42.403846153846153</v>
      </c>
      <c r="J114" s="14">
        <v>124024</v>
      </c>
      <c r="K114" s="14">
        <f>G114-114604</f>
        <v>-10604</v>
      </c>
      <c r="L114" s="14">
        <v>9420</v>
      </c>
      <c r="M114" s="29">
        <v>60</v>
      </c>
      <c r="N114" s="33">
        <v>135</v>
      </c>
      <c r="O114" s="38">
        <v>0.186</v>
      </c>
      <c r="P114" s="38">
        <v>0.186</v>
      </c>
      <c r="Q114" s="14">
        <f>K114/M114</f>
        <v>-176.73333333333332</v>
      </c>
      <c r="R114" s="14">
        <f>K114/O114</f>
        <v>-57010.752688172041</v>
      </c>
      <c r="S114" s="43">
        <f>K114/O114/43560</f>
        <v>-1.3087867926577603</v>
      </c>
      <c r="T114" s="38">
        <v>60</v>
      </c>
      <c r="U114" s="5" t="s">
        <v>55</v>
      </c>
      <c r="V114" t="s">
        <v>186</v>
      </c>
      <c r="Y114">
        <v>0</v>
      </c>
      <c r="Z114">
        <v>1</v>
      </c>
      <c r="AA114" t="s">
        <v>50</v>
      </c>
      <c r="AC114" s="6" t="s">
        <v>51</v>
      </c>
      <c r="AD114" t="s">
        <v>52</v>
      </c>
    </row>
    <row r="115" spans="1:30" x14ac:dyDescent="0.25">
      <c r="A115" t="s">
        <v>187</v>
      </c>
      <c r="B115" t="s">
        <v>188</v>
      </c>
      <c r="C115" s="24">
        <v>45693</v>
      </c>
      <c r="D115" s="14">
        <v>58500</v>
      </c>
      <c r="E115" t="s">
        <v>45</v>
      </c>
      <c r="F115" t="s">
        <v>46</v>
      </c>
      <c r="G115" s="14">
        <v>58500</v>
      </c>
      <c r="H115" s="14">
        <v>23000</v>
      </c>
      <c r="I115" s="19">
        <f>H115/G115*100</f>
        <v>39.316239316239319</v>
      </c>
      <c r="J115" s="14">
        <v>52334</v>
      </c>
      <c r="K115" s="14">
        <f>G115-42914</f>
        <v>15586</v>
      </c>
      <c r="L115" s="14">
        <v>9420</v>
      </c>
      <c r="M115" s="29">
        <v>60</v>
      </c>
      <c r="N115" s="33">
        <v>130</v>
      </c>
      <c r="O115" s="38">
        <v>0.17899999999999999</v>
      </c>
      <c r="P115" s="38">
        <v>0.17899999999999999</v>
      </c>
      <c r="Q115" s="14">
        <f>K115/M115</f>
        <v>259.76666666666665</v>
      </c>
      <c r="R115" s="14">
        <f>K115/O115</f>
        <v>87072.625698324031</v>
      </c>
      <c r="S115" s="43">
        <f>K115/O115/43560</f>
        <v>1.9989124356823698</v>
      </c>
      <c r="T115" s="38">
        <v>60</v>
      </c>
      <c r="U115" s="5" t="s">
        <v>55</v>
      </c>
      <c r="V115" t="s">
        <v>189</v>
      </c>
      <c r="Y115">
        <v>0</v>
      </c>
      <c r="Z115">
        <v>1</v>
      </c>
      <c r="AA115" t="s">
        <v>50</v>
      </c>
      <c r="AC115" s="6" t="s">
        <v>51</v>
      </c>
      <c r="AD115" t="s">
        <v>52</v>
      </c>
    </row>
    <row r="116" spans="1:30" x14ac:dyDescent="0.25">
      <c r="A116" t="s">
        <v>190</v>
      </c>
      <c r="B116" t="s">
        <v>191</v>
      </c>
      <c r="C116" s="24">
        <v>45146</v>
      </c>
      <c r="D116" s="14">
        <v>89900</v>
      </c>
      <c r="E116" t="s">
        <v>45</v>
      </c>
      <c r="F116" t="s">
        <v>46</v>
      </c>
      <c r="G116" s="14">
        <v>89900</v>
      </c>
      <c r="H116" s="14">
        <v>27700</v>
      </c>
      <c r="I116" s="19">
        <f>H116/G116*100</f>
        <v>30.81201334816463</v>
      </c>
      <c r="J116" s="14">
        <v>64281</v>
      </c>
      <c r="K116" s="14">
        <f>G116-54861</f>
        <v>35039</v>
      </c>
      <c r="L116" s="14">
        <v>9420</v>
      </c>
      <c r="M116" s="29">
        <v>60</v>
      </c>
      <c r="N116" s="33">
        <v>135</v>
      </c>
      <c r="O116" s="38">
        <v>0.186</v>
      </c>
      <c r="P116" s="38">
        <v>0.186</v>
      </c>
      <c r="Q116" s="14">
        <f>K116/M116</f>
        <v>583.98333333333335</v>
      </c>
      <c r="R116" s="14">
        <f>K116/O116</f>
        <v>188381.72043010753</v>
      </c>
      <c r="S116" s="43">
        <f>K116/O116/43560</f>
        <v>4.3246492293413112</v>
      </c>
      <c r="T116" s="38">
        <v>60</v>
      </c>
      <c r="U116" s="5" t="s">
        <v>192</v>
      </c>
      <c r="V116" t="s">
        <v>193</v>
      </c>
      <c r="Y116">
        <v>0</v>
      </c>
      <c r="Z116">
        <v>1</v>
      </c>
      <c r="AA116" t="s">
        <v>50</v>
      </c>
      <c r="AC116" s="6" t="s">
        <v>51</v>
      </c>
      <c r="AD116" t="s">
        <v>52</v>
      </c>
    </row>
    <row r="117" spans="1:30" x14ac:dyDescent="0.25">
      <c r="A117" t="s">
        <v>190</v>
      </c>
      <c r="B117" t="s">
        <v>191</v>
      </c>
      <c r="C117" s="24">
        <v>45720</v>
      </c>
      <c r="D117" s="14">
        <v>119000</v>
      </c>
      <c r="E117" t="s">
        <v>45</v>
      </c>
      <c r="F117" t="s">
        <v>46</v>
      </c>
      <c r="G117" s="14">
        <v>119000</v>
      </c>
      <c r="H117" s="14">
        <v>31000</v>
      </c>
      <c r="I117" s="19">
        <f>H117/G117*100</f>
        <v>26.05042016806723</v>
      </c>
      <c r="J117" s="14">
        <v>64281</v>
      </c>
      <c r="K117" s="14">
        <f>G117-54861</f>
        <v>64139</v>
      </c>
      <c r="L117" s="14">
        <v>9420</v>
      </c>
      <c r="M117" s="29">
        <v>60</v>
      </c>
      <c r="N117" s="33">
        <v>135</v>
      </c>
      <c r="O117" s="38">
        <v>0.186</v>
      </c>
      <c r="P117" s="38">
        <v>0.186</v>
      </c>
      <c r="Q117" s="14">
        <f>K117/M117</f>
        <v>1068.9833333333333</v>
      </c>
      <c r="R117" s="14">
        <f>K117/O117</f>
        <v>344833.33333333331</v>
      </c>
      <c r="S117" s="43">
        <f>K117/O117/43560</f>
        <v>7.916284052647689</v>
      </c>
      <c r="T117" s="38">
        <v>60</v>
      </c>
      <c r="U117" s="5" t="s">
        <v>192</v>
      </c>
      <c r="V117" t="s">
        <v>194</v>
      </c>
      <c r="Y117">
        <v>0</v>
      </c>
      <c r="Z117">
        <v>1</v>
      </c>
      <c r="AA117" t="s">
        <v>50</v>
      </c>
      <c r="AC117" s="6" t="s">
        <v>51</v>
      </c>
      <c r="AD117" t="s">
        <v>52</v>
      </c>
    </row>
    <row r="118" spans="1:30" x14ac:dyDescent="0.25">
      <c r="A118" t="s">
        <v>195</v>
      </c>
      <c r="B118" t="s">
        <v>196</v>
      </c>
      <c r="C118" s="24">
        <v>45037</v>
      </c>
      <c r="D118" s="14">
        <v>35000</v>
      </c>
      <c r="E118" t="s">
        <v>45</v>
      </c>
      <c r="F118" t="s">
        <v>46</v>
      </c>
      <c r="G118" s="14">
        <v>35000</v>
      </c>
      <c r="H118" s="14">
        <v>19600</v>
      </c>
      <c r="I118" s="19">
        <f>H118/G118*100</f>
        <v>56.000000000000007</v>
      </c>
      <c r="J118" s="14">
        <v>57696</v>
      </c>
      <c r="K118" s="14">
        <f>G118-48158</f>
        <v>-13158</v>
      </c>
      <c r="L118" s="14">
        <v>9538</v>
      </c>
      <c r="M118" s="29">
        <v>60.75</v>
      </c>
      <c r="N118" s="33">
        <v>83</v>
      </c>
      <c r="O118" s="38">
        <v>0.14299999999999999</v>
      </c>
      <c r="P118" s="38">
        <v>0.11600000000000001</v>
      </c>
      <c r="Q118" s="14">
        <f>K118/M118</f>
        <v>-216.59259259259258</v>
      </c>
      <c r="R118" s="14">
        <f>K118/O118</f>
        <v>-92013.986013986025</v>
      </c>
      <c r="S118" s="43">
        <f>K118/O118/43560</f>
        <v>-2.1123504594578977</v>
      </c>
      <c r="T118" s="38">
        <v>60.75</v>
      </c>
      <c r="U118" s="5" t="s">
        <v>55</v>
      </c>
      <c r="V118" t="s">
        <v>197</v>
      </c>
      <c r="Y118">
        <v>0</v>
      </c>
      <c r="Z118">
        <v>1</v>
      </c>
      <c r="AA118" t="s">
        <v>50</v>
      </c>
      <c r="AC118" s="6" t="s">
        <v>51</v>
      </c>
      <c r="AD118" t="s">
        <v>52</v>
      </c>
    </row>
    <row r="119" spans="1:30" x14ac:dyDescent="0.25">
      <c r="A119" t="s">
        <v>198</v>
      </c>
      <c r="B119" t="s">
        <v>199</v>
      </c>
      <c r="C119" s="24">
        <v>45205</v>
      </c>
      <c r="D119" s="14">
        <v>126000</v>
      </c>
      <c r="E119" t="s">
        <v>45</v>
      </c>
      <c r="F119" t="s">
        <v>46</v>
      </c>
      <c r="G119" s="14">
        <v>126000</v>
      </c>
      <c r="H119" s="14">
        <v>41100</v>
      </c>
      <c r="I119" s="19">
        <f>H119/G119*100</f>
        <v>32.61904761904762</v>
      </c>
      <c r="J119" s="14">
        <v>115041</v>
      </c>
      <c r="K119" s="14">
        <f>G119-100911</f>
        <v>25089</v>
      </c>
      <c r="L119" s="14">
        <v>14130</v>
      </c>
      <c r="M119" s="29">
        <v>90</v>
      </c>
      <c r="N119" s="33">
        <v>131</v>
      </c>
      <c r="O119" s="38">
        <v>0.27100000000000002</v>
      </c>
      <c r="P119" s="38">
        <v>0.27100000000000002</v>
      </c>
      <c r="Q119" s="14">
        <f>K119/M119</f>
        <v>278.76666666666665</v>
      </c>
      <c r="R119" s="14">
        <f>K119/O119</f>
        <v>92579.335793357925</v>
      </c>
      <c r="S119" s="43">
        <f>K119/O119/43560</f>
        <v>2.1253291045307146</v>
      </c>
      <c r="T119" s="38">
        <v>90</v>
      </c>
      <c r="U119" s="5" t="s">
        <v>55</v>
      </c>
      <c r="V119" t="s">
        <v>200</v>
      </c>
      <c r="Y119">
        <v>0</v>
      </c>
      <c r="Z119">
        <v>1</v>
      </c>
      <c r="AA119" t="s">
        <v>50</v>
      </c>
      <c r="AC119" s="6" t="s">
        <v>51</v>
      </c>
      <c r="AD119" t="s">
        <v>52</v>
      </c>
    </row>
    <row r="120" spans="1:30" x14ac:dyDescent="0.25">
      <c r="A120" t="s">
        <v>201</v>
      </c>
      <c r="B120" t="s">
        <v>202</v>
      </c>
      <c r="C120" s="24">
        <v>45245</v>
      </c>
      <c r="D120" s="14">
        <v>35000</v>
      </c>
      <c r="E120" t="s">
        <v>134</v>
      </c>
      <c r="F120" t="s">
        <v>46</v>
      </c>
      <c r="G120" s="14">
        <v>35000</v>
      </c>
      <c r="H120" s="14">
        <v>27700</v>
      </c>
      <c r="I120" s="19">
        <f>H120/G120*100</f>
        <v>79.142857142857153</v>
      </c>
      <c r="J120" s="14">
        <v>78034</v>
      </c>
      <c r="K120" s="14">
        <f>G120-70184</f>
        <v>-35184</v>
      </c>
      <c r="L120" s="14">
        <v>7850</v>
      </c>
      <c r="M120" s="29">
        <v>50</v>
      </c>
      <c r="N120" s="33">
        <v>131</v>
      </c>
      <c r="O120" s="38">
        <v>0.15</v>
      </c>
      <c r="P120" s="38">
        <v>0.15</v>
      </c>
      <c r="Q120" s="14">
        <f>K120/M120</f>
        <v>-703.68</v>
      </c>
      <c r="R120" s="14">
        <f>K120/O120</f>
        <v>-234560</v>
      </c>
      <c r="S120" s="43">
        <f>K120/O120/43560</f>
        <v>-5.3847566574839298</v>
      </c>
      <c r="T120" s="38">
        <v>50</v>
      </c>
      <c r="U120" s="5" t="s">
        <v>55</v>
      </c>
      <c r="V120" t="s">
        <v>203</v>
      </c>
      <c r="Y120">
        <v>0</v>
      </c>
      <c r="Z120">
        <v>1</v>
      </c>
      <c r="AA120" t="s">
        <v>50</v>
      </c>
      <c r="AC120" s="6" t="s">
        <v>51</v>
      </c>
      <c r="AD120" t="s">
        <v>52</v>
      </c>
    </row>
    <row r="121" spans="1:30" x14ac:dyDescent="0.25">
      <c r="A121" t="s">
        <v>201</v>
      </c>
      <c r="B121" t="s">
        <v>202</v>
      </c>
      <c r="C121" s="24">
        <v>45553</v>
      </c>
      <c r="D121" s="14">
        <v>98000</v>
      </c>
      <c r="E121" t="s">
        <v>45</v>
      </c>
      <c r="F121" t="s">
        <v>46</v>
      </c>
      <c r="G121" s="14">
        <v>98000</v>
      </c>
      <c r="H121" s="14">
        <v>36100</v>
      </c>
      <c r="I121" s="19">
        <f>H121/G121*100</f>
        <v>36.836734693877546</v>
      </c>
      <c r="J121" s="14">
        <v>78034</v>
      </c>
      <c r="K121" s="14">
        <f>G121-70184</f>
        <v>27816</v>
      </c>
      <c r="L121" s="14">
        <v>7850</v>
      </c>
      <c r="M121" s="29">
        <v>50</v>
      </c>
      <c r="N121" s="33">
        <v>131</v>
      </c>
      <c r="O121" s="38">
        <v>0.15</v>
      </c>
      <c r="P121" s="38">
        <v>0.15</v>
      </c>
      <c r="Q121" s="14">
        <f>K121/M121</f>
        <v>556.32000000000005</v>
      </c>
      <c r="R121" s="14">
        <f>K121/O121</f>
        <v>185440</v>
      </c>
      <c r="S121" s="43">
        <f>K121/O121/43560</f>
        <v>4.257116620752984</v>
      </c>
      <c r="T121" s="38">
        <v>50</v>
      </c>
      <c r="U121" s="5" t="s">
        <v>55</v>
      </c>
      <c r="V121" t="s">
        <v>204</v>
      </c>
      <c r="Y121">
        <v>0</v>
      </c>
      <c r="Z121">
        <v>1</v>
      </c>
      <c r="AA121" t="s">
        <v>50</v>
      </c>
      <c r="AC121" s="6" t="s">
        <v>51</v>
      </c>
      <c r="AD121" t="s">
        <v>52</v>
      </c>
    </row>
    <row r="122" spans="1:30" x14ac:dyDescent="0.25">
      <c r="A122" t="s">
        <v>205</v>
      </c>
      <c r="B122" t="s">
        <v>206</v>
      </c>
      <c r="C122" s="24">
        <v>45068</v>
      </c>
      <c r="D122" s="14">
        <v>73000</v>
      </c>
      <c r="E122" t="s">
        <v>45</v>
      </c>
      <c r="F122" t="s">
        <v>46</v>
      </c>
      <c r="G122" s="14">
        <v>73000</v>
      </c>
      <c r="H122" s="14">
        <v>31100</v>
      </c>
      <c r="I122" s="19">
        <f>H122/G122*100</f>
        <v>42.602739726027401</v>
      </c>
      <c r="J122" s="14">
        <v>88419</v>
      </c>
      <c r="K122" s="14">
        <f>G122-80569</f>
        <v>-7569</v>
      </c>
      <c r="L122" s="14">
        <v>7850</v>
      </c>
      <c r="M122" s="29">
        <v>50</v>
      </c>
      <c r="N122" s="33">
        <v>131</v>
      </c>
      <c r="O122" s="38">
        <v>0.15</v>
      </c>
      <c r="P122" s="38">
        <v>0.15</v>
      </c>
      <c r="Q122" s="14">
        <f>K122/M122</f>
        <v>-151.38</v>
      </c>
      <c r="R122" s="14">
        <f>K122/O122</f>
        <v>-50460</v>
      </c>
      <c r="S122" s="43">
        <f>K122/O122/43560</f>
        <v>-1.1584022038567494</v>
      </c>
      <c r="T122" s="38">
        <v>50</v>
      </c>
      <c r="U122" s="5" t="s">
        <v>55</v>
      </c>
      <c r="V122" t="s">
        <v>207</v>
      </c>
      <c r="Y122">
        <v>0</v>
      </c>
      <c r="Z122">
        <v>1</v>
      </c>
      <c r="AA122" t="s">
        <v>50</v>
      </c>
      <c r="AC122" s="6" t="s">
        <v>51</v>
      </c>
      <c r="AD122" t="s">
        <v>52</v>
      </c>
    </row>
    <row r="123" spans="1:30" x14ac:dyDescent="0.25">
      <c r="A123" t="s">
        <v>208</v>
      </c>
      <c r="B123" t="s">
        <v>209</v>
      </c>
      <c r="C123" s="24">
        <v>45226</v>
      </c>
      <c r="D123" s="14">
        <v>89900</v>
      </c>
      <c r="E123" t="s">
        <v>45</v>
      </c>
      <c r="F123" t="s">
        <v>46</v>
      </c>
      <c r="G123" s="14">
        <v>89900</v>
      </c>
      <c r="H123" s="14">
        <v>28800</v>
      </c>
      <c r="I123" s="19">
        <f>H123/G123*100</f>
        <v>32.035595105672968</v>
      </c>
      <c r="J123" s="14">
        <v>79723</v>
      </c>
      <c r="K123" s="14">
        <f>G123-70303</f>
        <v>19597</v>
      </c>
      <c r="L123" s="14">
        <v>9420</v>
      </c>
      <c r="M123" s="29">
        <v>60</v>
      </c>
      <c r="N123" s="33">
        <v>131</v>
      </c>
      <c r="O123" s="38">
        <v>0.18</v>
      </c>
      <c r="P123" s="38">
        <v>0.18</v>
      </c>
      <c r="Q123" s="14">
        <f>K123/M123</f>
        <v>326.61666666666667</v>
      </c>
      <c r="R123" s="14">
        <f>K123/O123</f>
        <v>108872.22222222222</v>
      </c>
      <c r="S123" s="43">
        <f>K123/O123/43560</f>
        <v>2.4993623099683706</v>
      </c>
      <c r="T123" s="38">
        <v>60</v>
      </c>
      <c r="U123" s="5" t="s">
        <v>55</v>
      </c>
      <c r="V123" t="s">
        <v>210</v>
      </c>
      <c r="Y123">
        <v>0</v>
      </c>
      <c r="Z123">
        <v>1</v>
      </c>
      <c r="AA123" t="s">
        <v>50</v>
      </c>
      <c r="AC123" s="6" t="s">
        <v>51</v>
      </c>
      <c r="AD123" t="s">
        <v>52</v>
      </c>
    </row>
    <row r="124" spans="1:30" x14ac:dyDescent="0.25">
      <c r="A124" t="s">
        <v>211</v>
      </c>
      <c r="B124" t="s">
        <v>212</v>
      </c>
      <c r="C124" s="24">
        <v>45153</v>
      </c>
      <c r="D124" s="14">
        <v>90000</v>
      </c>
      <c r="E124" t="s">
        <v>45</v>
      </c>
      <c r="F124" t="s">
        <v>46</v>
      </c>
      <c r="G124" s="14">
        <v>90000</v>
      </c>
      <c r="H124" s="14">
        <v>45000</v>
      </c>
      <c r="I124" s="19">
        <f>H124/G124*100</f>
        <v>50</v>
      </c>
      <c r="J124" s="14">
        <v>125750</v>
      </c>
      <c r="K124" s="14">
        <f>G124-111620</f>
        <v>-21620</v>
      </c>
      <c r="L124" s="14">
        <v>14130</v>
      </c>
      <c r="M124" s="29">
        <v>90</v>
      </c>
      <c r="N124" s="33">
        <v>131</v>
      </c>
      <c r="O124" s="38">
        <v>0.27100000000000002</v>
      </c>
      <c r="P124" s="38">
        <v>0.27100000000000002</v>
      </c>
      <c r="Q124" s="14">
        <f>K124/M124</f>
        <v>-240.22222222222223</v>
      </c>
      <c r="R124" s="14">
        <f>K124/O124</f>
        <v>-79778.59778597785</v>
      </c>
      <c r="S124" s="43">
        <f>K124/O124/43560</f>
        <v>-1.8314645956376916</v>
      </c>
      <c r="T124" s="38">
        <v>90</v>
      </c>
      <c r="U124" s="5" t="s">
        <v>55</v>
      </c>
      <c r="V124" t="s">
        <v>213</v>
      </c>
      <c r="Y124">
        <v>0</v>
      </c>
      <c r="Z124">
        <v>1</v>
      </c>
      <c r="AA124" t="s">
        <v>50</v>
      </c>
      <c r="AC124" s="6" t="s">
        <v>51</v>
      </c>
      <c r="AD124" t="s">
        <v>52</v>
      </c>
    </row>
    <row r="125" spans="1:30" x14ac:dyDescent="0.25">
      <c r="A125" t="s">
        <v>214</v>
      </c>
      <c r="B125" t="s">
        <v>215</v>
      </c>
      <c r="C125" s="24">
        <v>45394</v>
      </c>
      <c r="D125" s="14">
        <v>20000</v>
      </c>
      <c r="E125" t="s">
        <v>45</v>
      </c>
      <c r="F125" t="s">
        <v>46</v>
      </c>
      <c r="G125" s="14">
        <v>20000</v>
      </c>
      <c r="H125" s="14">
        <v>39100</v>
      </c>
      <c r="I125" s="19">
        <f>H125/G125*100</f>
        <v>195.5</v>
      </c>
      <c r="J125" s="14">
        <v>85946</v>
      </c>
      <c r="K125" s="14">
        <f>G125-75819</f>
        <v>-55819</v>
      </c>
      <c r="L125" s="14">
        <v>10127</v>
      </c>
      <c r="M125" s="29">
        <v>64.5</v>
      </c>
      <c r="N125" s="33">
        <v>131</v>
      </c>
      <c r="O125" s="38">
        <v>0.19400000000000001</v>
      </c>
      <c r="P125" s="38">
        <v>0.19400000000000001</v>
      </c>
      <c r="Q125" s="14">
        <f>K125/M125</f>
        <v>-865.41085271317831</v>
      </c>
      <c r="R125" s="14">
        <f>K125/O125</f>
        <v>-287726.80412371131</v>
      </c>
      <c r="S125" s="43">
        <f>K125/O125/43560</f>
        <v>-6.6052985336021877</v>
      </c>
      <c r="T125" s="38">
        <v>64.5</v>
      </c>
      <c r="U125" s="5" t="s">
        <v>55</v>
      </c>
      <c r="V125" t="s">
        <v>216</v>
      </c>
      <c r="Y125">
        <v>0</v>
      </c>
      <c r="Z125">
        <v>1</v>
      </c>
      <c r="AA125" t="s">
        <v>50</v>
      </c>
      <c r="AC125" s="6" t="s">
        <v>51</v>
      </c>
      <c r="AD125" t="s">
        <v>52</v>
      </c>
    </row>
    <row r="126" spans="1:30" x14ac:dyDescent="0.25">
      <c r="A126" t="s">
        <v>217</v>
      </c>
      <c r="B126" t="s">
        <v>218</v>
      </c>
      <c r="C126" s="24">
        <v>45352</v>
      </c>
      <c r="D126" s="14">
        <v>90000</v>
      </c>
      <c r="E126" t="s">
        <v>45</v>
      </c>
      <c r="F126" t="s">
        <v>46</v>
      </c>
      <c r="G126" s="14">
        <v>90000</v>
      </c>
      <c r="H126" s="14">
        <v>35700</v>
      </c>
      <c r="I126" s="19">
        <f>H126/G126*100</f>
        <v>39.666666666666664</v>
      </c>
      <c r="J126" s="14">
        <v>93852</v>
      </c>
      <c r="K126" s="14">
        <f>G126-84432</f>
        <v>5568</v>
      </c>
      <c r="L126" s="14">
        <v>9420</v>
      </c>
      <c r="M126" s="29">
        <v>60</v>
      </c>
      <c r="N126" s="33">
        <v>131</v>
      </c>
      <c r="O126" s="38">
        <v>0.18</v>
      </c>
      <c r="P126" s="38">
        <v>0.18</v>
      </c>
      <c r="Q126" s="14">
        <f>K126/M126</f>
        <v>92.8</v>
      </c>
      <c r="R126" s="14">
        <f>K126/O126</f>
        <v>30933.333333333336</v>
      </c>
      <c r="S126" s="43">
        <f>K126/O126/43560</f>
        <v>0.71013161922252832</v>
      </c>
      <c r="T126" s="38">
        <v>60</v>
      </c>
      <c r="U126" s="5" t="s">
        <v>55</v>
      </c>
      <c r="V126" t="s">
        <v>219</v>
      </c>
      <c r="Y126">
        <v>0</v>
      </c>
      <c r="Z126">
        <v>1</v>
      </c>
      <c r="AA126" t="s">
        <v>50</v>
      </c>
      <c r="AC126" s="6" t="s">
        <v>51</v>
      </c>
      <c r="AD126" t="s">
        <v>52</v>
      </c>
    </row>
    <row r="127" spans="1:30" x14ac:dyDescent="0.25">
      <c r="A127" t="s">
        <v>220</v>
      </c>
      <c r="B127" t="s">
        <v>221</v>
      </c>
      <c r="C127" s="24">
        <v>45737</v>
      </c>
      <c r="D127" s="14">
        <v>148000</v>
      </c>
      <c r="E127" t="s">
        <v>45</v>
      </c>
      <c r="F127" t="s">
        <v>46</v>
      </c>
      <c r="G127" s="14">
        <v>148000</v>
      </c>
      <c r="H127" s="14">
        <v>49700</v>
      </c>
      <c r="I127" s="19">
        <f>H127/G127*100</f>
        <v>33.581081081081081</v>
      </c>
      <c r="J127" s="14">
        <v>106609</v>
      </c>
      <c r="K127" s="14">
        <f>G127-97189</f>
        <v>50811</v>
      </c>
      <c r="L127" s="14">
        <v>9420</v>
      </c>
      <c r="M127" s="29">
        <v>60</v>
      </c>
      <c r="N127" s="33">
        <v>131</v>
      </c>
      <c r="O127" s="38">
        <v>0.18</v>
      </c>
      <c r="P127" s="38">
        <v>0.18</v>
      </c>
      <c r="Q127" s="14">
        <f>K127/M127</f>
        <v>846.85</v>
      </c>
      <c r="R127" s="14">
        <f>K127/O127</f>
        <v>282283.33333333337</v>
      </c>
      <c r="S127" s="43">
        <f>K127/O127/43560</f>
        <v>6.4803336394245497</v>
      </c>
      <c r="T127" s="38">
        <v>60</v>
      </c>
      <c r="U127" s="5" t="s">
        <v>55</v>
      </c>
      <c r="V127" t="s">
        <v>222</v>
      </c>
      <c r="Y127">
        <v>0</v>
      </c>
      <c r="Z127">
        <v>1</v>
      </c>
      <c r="AA127" t="s">
        <v>50</v>
      </c>
      <c r="AC127" s="6" t="s">
        <v>51</v>
      </c>
      <c r="AD127" t="s">
        <v>52</v>
      </c>
    </row>
    <row r="128" spans="1:30" x14ac:dyDescent="0.25">
      <c r="A128" t="s">
        <v>223</v>
      </c>
      <c r="B128" t="s">
        <v>224</v>
      </c>
      <c r="C128" s="24">
        <v>45440</v>
      </c>
      <c r="D128" s="14">
        <v>99000</v>
      </c>
      <c r="E128" t="s">
        <v>45</v>
      </c>
      <c r="F128" t="s">
        <v>46</v>
      </c>
      <c r="G128" s="14">
        <v>99000</v>
      </c>
      <c r="H128" s="14">
        <v>47300</v>
      </c>
      <c r="I128" s="19">
        <f>H128/G128*100</f>
        <v>47.777777777777779</v>
      </c>
      <c r="J128" s="14">
        <v>94820</v>
      </c>
      <c r="K128" s="14">
        <f>G128-83045</f>
        <v>15955</v>
      </c>
      <c r="L128" s="14">
        <v>11775</v>
      </c>
      <c r="M128" s="29">
        <v>75</v>
      </c>
      <c r="N128" s="33">
        <v>131</v>
      </c>
      <c r="O128" s="38">
        <v>0.22600000000000001</v>
      </c>
      <c r="P128" s="38">
        <v>0.22600000000000001</v>
      </c>
      <c r="Q128" s="14">
        <f>K128/M128</f>
        <v>212.73333333333332</v>
      </c>
      <c r="R128" s="14">
        <f>K128/O128</f>
        <v>70597.345132743358</v>
      </c>
      <c r="S128" s="43">
        <f>K128/O128/43560</f>
        <v>1.620692037023493</v>
      </c>
      <c r="T128" s="38">
        <v>75</v>
      </c>
      <c r="U128" s="5" t="s">
        <v>55</v>
      </c>
      <c r="V128" t="s">
        <v>225</v>
      </c>
      <c r="Y128">
        <v>0</v>
      </c>
      <c r="Z128">
        <v>1</v>
      </c>
      <c r="AA128" t="s">
        <v>50</v>
      </c>
      <c r="AC128" s="6" t="s">
        <v>51</v>
      </c>
      <c r="AD128" t="s">
        <v>52</v>
      </c>
    </row>
    <row r="129" spans="1:30" x14ac:dyDescent="0.25">
      <c r="A129" t="s">
        <v>226</v>
      </c>
      <c r="B129" t="s">
        <v>227</v>
      </c>
      <c r="C129" s="24">
        <v>45716</v>
      </c>
      <c r="D129" s="14">
        <v>0</v>
      </c>
      <c r="E129" t="s">
        <v>134</v>
      </c>
      <c r="F129" t="s">
        <v>46</v>
      </c>
      <c r="G129" s="14">
        <v>0</v>
      </c>
      <c r="H129" s="14">
        <v>25400</v>
      </c>
      <c r="I129" s="19" t="e">
        <f>H129/G129*100</f>
        <v>#DIV/0!</v>
      </c>
      <c r="J129" s="14">
        <v>55190</v>
      </c>
      <c r="K129" s="14">
        <f>G129-50630</f>
        <v>-50630</v>
      </c>
      <c r="L129" s="14">
        <v>4560</v>
      </c>
      <c r="M129" s="29">
        <v>40</v>
      </c>
      <c r="N129" s="33">
        <v>130</v>
      </c>
      <c r="O129" s="38">
        <v>0.11899999999999999</v>
      </c>
      <c r="P129" s="38">
        <v>0.11899999999999999</v>
      </c>
      <c r="Q129" s="14">
        <f>K129/M129</f>
        <v>-1265.75</v>
      </c>
      <c r="R129" s="14">
        <f>K129/O129</f>
        <v>-425462.18487394962</v>
      </c>
      <c r="S129" s="43">
        <f>K129/O129/43560</f>
        <v>-9.7672677886581631</v>
      </c>
      <c r="T129" s="38">
        <v>40</v>
      </c>
      <c r="U129" s="5" t="s">
        <v>55</v>
      </c>
      <c r="Y129">
        <v>0</v>
      </c>
      <c r="Z129">
        <v>1</v>
      </c>
      <c r="AA129" t="s">
        <v>50</v>
      </c>
      <c r="AC129" s="6" t="s">
        <v>51</v>
      </c>
      <c r="AD129" t="s">
        <v>63</v>
      </c>
    </row>
    <row r="130" spans="1:30" x14ac:dyDescent="0.25">
      <c r="A130" t="s">
        <v>228</v>
      </c>
      <c r="B130" t="s">
        <v>229</v>
      </c>
      <c r="C130" s="24">
        <v>45386</v>
      </c>
      <c r="D130" s="14">
        <v>83000</v>
      </c>
      <c r="E130" t="s">
        <v>45</v>
      </c>
      <c r="F130" t="s">
        <v>46</v>
      </c>
      <c r="G130" s="14">
        <v>83000</v>
      </c>
      <c r="H130" s="14">
        <v>25200</v>
      </c>
      <c r="I130" s="19">
        <f>H130/G130*100</f>
        <v>30.361445783132528</v>
      </c>
      <c r="J130" s="14">
        <v>55285</v>
      </c>
      <c r="K130" s="14">
        <f>G130-50725</f>
        <v>32275</v>
      </c>
      <c r="L130" s="14">
        <v>4560</v>
      </c>
      <c r="M130" s="29">
        <v>40</v>
      </c>
      <c r="N130" s="33">
        <v>130</v>
      </c>
      <c r="O130" s="38">
        <v>0.11899999999999999</v>
      </c>
      <c r="P130" s="38">
        <v>0.11899999999999999</v>
      </c>
      <c r="Q130" s="14">
        <f>K130/M130</f>
        <v>806.875</v>
      </c>
      <c r="R130" s="14">
        <f>K130/O130</f>
        <v>271218.48739495798</v>
      </c>
      <c r="S130" s="43">
        <f>K130/O130/43560</f>
        <v>6.2263197289935253</v>
      </c>
      <c r="T130" s="38">
        <v>40</v>
      </c>
      <c r="U130" s="5" t="s">
        <v>55</v>
      </c>
      <c r="V130" t="s">
        <v>230</v>
      </c>
      <c r="Y130">
        <v>0</v>
      </c>
      <c r="Z130">
        <v>1</v>
      </c>
      <c r="AA130" t="s">
        <v>50</v>
      </c>
      <c r="AC130" s="6" t="s">
        <v>51</v>
      </c>
      <c r="AD130" t="s">
        <v>63</v>
      </c>
    </row>
    <row r="131" spans="1:30" x14ac:dyDescent="0.25">
      <c r="A131" t="s">
        <v>231</v>
      </c>
      <c r="B131" t="s">
        <v>232</v>
      </c>
      <c r="C131" s="24">
        <v>45211</v>
      </c>
      <c r="D131" s="14">
        <v>85000</v>
      </c>
      <c r="E131" t="s">
        <v>127</v>
      </c>
      <c r="F131" t="s">
        <v>46</v>
      </c>
      <c r="G131" s="14">
        <v>85000</v>
      </c>
      <c r="H131" s="14">
        <v>19800</v>
      </c>
      <c r="I131" s="19">
        <f>H131/G131*100</f>
        <v>23.294117647058822</v>
      </c>
      <c r="J131" s="14">
        <v>54861</v>
      </c>
      <c r="K131" s="14">
        <f>G131-48021</f>
        <v>36979</v>
      </c>
      <c r="L131" s="14">
        <v>6840</v>
      </c>
      <c r="M131" s="29">
        <v>60</v>
      </c>
      <c r="N131" s="33">
        <v>144</v>
      </c>
      <c r="O131" s="38">
        <v>0.19800000000000001</v>
      </c>
      <c r="P131" s="38">
        <v>0.19800000000000001</v>
      </c>
      <c r="Q131" s="14">
        <f>K131/M131</f>
        <v>616.31666666666672</v>
      </c>
      <c r="R131" s="14">
        <f>K131/O131</f>
        <v>186762.62626262626</v>
      </c>
      <c r="S131" s="43">
        <f>K131/O131/43560</f>
        <v>4.2874799417499139</v>
      </c>
      <c r="T131" s="38">
        <v>60</v>
      </c>
      <c r="U131" s="5" t="s">
        <v>55</v>
      </c>
      <c r="V131" t="s">
        <v>233</v>
      </c>
      <c r="Y131">
        <v>0</v>
      </c>
      <c r="Z131">
        <v>1</v>
      </c>
      <c r="AA131" t="s">
        <v>50</v>
      </c>
      <c r="AC131" s="6" t="s">
        <v>51</v>
      </c>
      <c r="AD131" t="s">
        <v>63</v>
      </c>
    </row>
    <row r="132" spans="1:30" x14ac:dyDescent="0.25">
      <c r="A132" t="s">
        <v>234</v>
      </c>
      <c r="B132" t="s">
        <v>235</v>
      </c>
      <c r="C132" s="24">
        <v>45246</v>
      </c>
      <c r="D132" s="14">
        <v>30000</v>
      </c>
      <c r="E132" t="s">
        <v>85</v>
      </c>
      <c r="F132" t="s">
        <v>46</v>
      </c>
      <c r="G132" s="14">
        <v>30000</v>
      </c>
      <c r="H132" s="14">
        <v>43400</v>
      </c>
      <c r="I132" s="19">
        <f>H132/G132*100</f>
        <v>144.66666666666669</v>
      </c>
      <c r="J132" s="14">
        <v>126179</v>
      </c>
      <c r="K132" s="14">
        <f>G132-119339</f>
        <v>-89339</v>
      </c>
      <c r="L132" s="14">
        <v>6840</v>
      </c>
      <c r="M132" s="29">
        <v>60</v>
      </c>
      <c r="N132" s="33">
        <v>144</v>
      </c>
      <c r="O132" s="38">
        <v>0.19800000000000001</v>
      </c>
      <c r="P132" s="38">
        <v>0.19800000000000001</v>
      </c>
      <c r="Q132" s="14">
        <f>K132/M132</f>
        <v>-1488.9833333333333</v>
      </c>
      <c r="R132" s="14">
        <f>K132/O132</f>
        <v>-451207.0707070707</v>
      </c>
      <c r="S132" s="43">
        <f>K132/O132/43560</f>
        <v>-10.358289042862046</v>
      </c>
      <c r="T132" s="38">
        <v>60</v>
      </c>
      <c r="U132" s="5" t="s">
        <v>55</v>
      </c>
      <c r="Y132">
        <v>0</v>
      </c>
      <c r="Z132">
        <v>1</v>
      </c>
      <c r="AA132" t="s">
        <v>50</v>
      </c>
      <c r="AC132" s="6" t="s">
        <v>51</v>
      </c>
      <c r="AD132" t="s">
        <v>63</v>
      </c>
    </row>
  </sheetData>
  <conditionalFormatting sqref="AE2:AR64 A70:AD13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7B55-755B-4715-81EC-AB58768C254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2026-02-12T00:37:44Z</dcterms:created>
  <dcterms:modified xsi:type="dcterms:W3CDTF">2026-02-12T01:00:08Z</dcterms:modified>
</cp:coreProperties>
</file>